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embeddings/oleObject1.bin" ContentType="application/vnd.openxmlformats-officedocument.oleObject"/>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enerteamtn.sharepoint.com/sites/ITIEGuine2021/Documents partages/General/Reporting/Finale/"/>
    </mc:Choice>
  </mc:AlternateContent>
  <xr:revisionPtr revIDLastSave="0" documentId="8_{E06E7252-2F17-0D4C-9643-12F55C8BB28F}" xr6:coauthVersionLast="47" xr6:coauthVersionMax="47" xr10:uidLastSave="{00000000-0000-0000-0000-000000000000}"/>
  <bookViews>
    <workbookView xWindow="-108" yWindow="-108" windowWidth="23256" windowHeight="12576" tabRatio="871" activeTab="4" xr2:uid="{66917FD6-C023-4A2A-BE74-FA3338C85880}"/>
  </bookViews>
  <sheets>
    <sheet name="List" sheetId="51" r:id="rId1"/>
    <sheet name="1" sheetId="1" r:id="rId2"/>
    <sheet name="2" sheetId="2" r:id="rId3"/>
    <sheet name="3" sheetId="35" r:id="rId4"/>
    <sheet name="4" sheetId="4" r:id="rId5"/>
    <sheet name="5" sheetId="5" r:id="rId6"/>
    <sheet name="6" sheetId="6" r:id="rId7"/>
    <sheet name="7" sheetId="7" r:id="rId8"/>
    <sheet name="8" sheetId="39" r:id="rId9"/>
    <sheet name="9" sheetId="44" r:id="rId10"/>
    <sheet name="10" sheetId="50" r:id="rId11"/>
    <sheet name="10.1" sheetId="22" r:id="rId12"/>
    <sheet name="10.2" sheetId="23" r:id="rId13"/>
    <sheet name="10.3" sheetId="24" r:id="rId14"/>
    <sheet name="10.4" sheetId="25" r:id="rId15"/>
    <sheet name="10.5" sheetId="26" r:id="rId16"/>
    <sheet name="10.6" sheetId="28" r:id="rId17"/>
    <sheet name="10.7" sheetId="29" r:id="rId18"/>
    <sheet name="10.8" sheetId="30" r:id="rId19"/>
    <sheet name="10.9" sheetId="31" r:id="rId20"/>
    <sheet name="10.10" sheetId="32" r:id="rId21"/>
    <sheet name="10.11" sheetId="33" r:id="rId22"/>
    <sheet name="10.12" sheetId="34" r:id="rId23"/>
    <sheet name="11" sheetId="40" r:id="rId24"/>
    <sheet name="12" sheetId="41" r:id="rId25"/>
    <sheet name="13" sheetId="42" r:id="rId26"/>
    <sheet name="14" sheetId="43" r:id="rId27"/>
    <sheet name="15" sheetId="46" r:id="rId28"/>
    <sheet name="16" sheetId="9" r:id="rId29"/>
    <sheet name="17" sheetId="38" r:id="rId30"/>
    <sheet name="18" sheetId="45" r:id="rId31"/>
    <sheet name="19" sheetId="47" r:id="rId32"/>
    <sheet name="20" sheetId="48" r:id="rId33"/>
    <sheet name="21" sheetId="49" r:id="rId34"/>
    <sheet name="22" sheetId="52" r:id="rId35"/>
    <sheet name="23" sheetId="53" r:id="rId36"/>
  </sheets>
  <externalReferences>
    <externalReference r:id="rId37"/>
    <externalReference r:id="rId38"/>
  </externalReferences>
  <definedNames>
    <definedName name="_xlnm._FilterDatabase" localSheetId="1" hidden="1">'1'!$B$3:$G$3</definedName>
    <definedName name="_xlnm._FilterDatabase" localSheetId="23" hidden="1">'11'!$B$4:$E$802</definedName>
    <definedName name="_xlnm._FilterDatabase" localSheetId="25" hidden="1">'13'!$B$4:$E$851</definedName>
    <definedName name="_xlnm._FilterDatabase" localSheetId="26" hidden="1">'14'!$B$4:$D$45</definedName>
    <definedName name="_xlnm._FilterDatabase" localSheetId="30" hidden="1">'18'!$B$4:$M$106</definedName>
    <definedName name="_xlnm._FilterDatabase" localSheetId="4" hidden="1">'4'!$B$4:$K$16</definedName>
    <definedName name="_xlnm._FilterDatabase" localSheetId="7" hidden="1">'7'!$B$3:$J$1908</definedName>
    <definedName name="_xlnm._FilterDatabase" localSheetId="8" hidden="1">'8'!$B$4:$N$4</definedName>
    <definedName name="_xlnm._FilterDatabase" localSheetId="9" hidden="1">'9'!$B$5:$M$115</definedName>
    <definedName name="_xlnm._FilterDatabase" hidden="1">#REF!</definedName>
    <definedName name="_FilterDatabase1" hidden="1">#REF!</definedName>
    <definedName name="_Hlk46822259" localSheetId="27">'15'!$B$2</definedName>
    <definedName name="_Toc135066270" localSheetId="0">List!$B$3</definedName>
    <definedName name="_Toc135066271" localSheetId="0">List!$B$4</definedName>
    <definedName name="_Toc135066272" localSheetId="0">List!$B$5</definedName>
    <definedName name="_Toc135066273" localSheetId="0">List!$B$6</definedName>
    <definedName name="_Toc135066274" localSheetId="0">List!$B$7</definedName>
    <definedName name="_Toc135066275" localSheetId="0">List!$B$8</definedName>
    <definedName name="_Toc135066276" localSheetId="0">List!$B$9</definedName>
    <definedName name="_Toc135066277" localSheetId="0">List!$B$10</definedName>
    <definedName name="_Toc135066278" localSheetId="0">List!$B$11</definedName>
    <definedName name="_Toc135066279" localSheetId="0">List!$B$12</definedName>
    <definedName name="_Toc135066280" localSheetId="0">List!$B$13</definedName>
    <definedName name="_Toc135066281" localSheetId="0">List!$B$14</definedName>
    <definedName name="_Toc135066282" localSheetId="0">List!$B$15</definedName>
    <definedName name="_Toc135066283" localSheetId="0">List!$B$16</definedName>
    <definedName name="_Toc135066284" localSheetId="0">List!$B$17</definedName>
    <definedName name="_Toc135066285" localSheetId="0">List!$B$18</definedName>
    <definedName name="_Toc135066286" localSheetId="0">List!$B$19</definedName>
    <definedName name="_Toc135066287" localSheetId="0">List!$B$20</definedName>
    <definedName name="_Toc135066288" localSheetId="0">List!$B$21</definedName>
    <definedName name="_Toc135066289" localSheetId="0">List!$B$22</definedName>
    <definedName name="_Toc135066290" localSheetId="0">List!$B$23</definedName>
    <definedName name="_Toc1661855" localSheetId="6">'6'!#REF!</definedName>
    <definedName name="_Toc1661862" localSheetId="10">'10'!$B$2</definedName>
    <definedName name="_Toc55559404" localSheetId="1">'1'!$B$1</definedName>
    <definedName name="_Toc55559405" localSheetId="2">'2'!$B$1</definedName>
    <definedName name="_Toc55559407" localSheetId="4">'4'!$B$1</definedName>
    <definedName name="_Toc55559408" localSheetId="5">'5'!$B$1</definedName>
    <definedName name="_Toc55559410" localSheetId="7">'7'!$B$1</definedName>
    <definedName name="_Toc55559411" localSheetId="8">'8'!$B$2</definedName>
    <definedName name="_Toc55559412" localSheetId="28">'16'!$B$1</definedName>
    <definedName name="_Toc55559414" localSheetId="23">'11'!$B$2</definedName>
    <definedName name="_Toc55559415" localSheetId="24">'12'!$C$3</definedName>
    <definedName name="_Toc55559416" localSheetId="25">'13'!$B$2</definedName>
    <definedName name="_Toc55559417" localSheetId="26">'14'!$B$2</definedName>
    <definedName name="_Toc55559422" localSheetId="9">'9'!$B$2</definedName>
    <definedName name="_Toc55559423" localSheetId="29">'17'!$B$1</definedName>
    <definedName name="_Toc55559425" localSheetId="31">'19'!$B$2</definedName>
    <definedName name="az">#REF!</definedName>
    <definedName name="_xlnm.Database">#REF!</definedName>
    <definedName name="BATNA">#REF!</definedName>
    <definedName name="BISKRA">#REF!</definedName>
    <definedName name="Compadjust">[1]Lists!$A$68:$A$76</definedName>
    <definedName name="DATA5">[2]MEM!$E$2:$E$2</definedName>
    <definedName name="Erreure_de_reporting__montant_et_détail">#REF!</definedName>
    <definedName name="FD" hidden="1">#REF!</definedName>
    <definedName name="fdb" hidden="1">#REF!</definedName>
    <definedName name="FinalDiff">[1]Lists!$A$91:$A$104</definedName>
    <definedName name="g">#REF!</definedName>
    <definedName name="Govadjust">[1]Lists!$A$80:$A$87</definedName>
    <definedName name="JIJEL">#REF!</definedName>
    <definedName name="KHENCHELA">#REF!</definedName>
    <definedName name="MARI">#REF!</definedName>
    <definedName name="MILA">#REF!</definedName>
    <definedName name="miseenplace03prjpilotes">#REF!</definedName>
    <definedName name="MS">#REF!</definedName>
    <definedName name="msp">#REF!</definedName>
    <definedName name="P">#REF!</definedName>
    <definedName name="po">#REF!</definedName>
    <definedName name="POP">#REF!</definedName>
    <definedName name="RECAP">#REF!</definedName>
    <definedName name="SOUKAHARS">#REF!</definedName>
    <definedName name="Taxes">[1]Lists!$A$7:$A$47</definedName>
    <definedName name="TRAVAUX01">#REF!</definedName>
    <definedName name="TRAVAUX07">#REF!</definedName>
    <definedName name="TRAVAUX08">#REF!</definedName>
    <definedName name="TRAVAUX10">#REF!</definedName>
    <definedName name="TRAVAUX11">#REF!</definedName>
    <definedName name="TRAVAUX12">#REF!</definedName>
    <definedName name="TRAVAUX13">#REF!</definedName>
    <definedName name="TRAVAUX14">#REF!</definedName>
    <definedName name="TRAVAUX15">#REF!</definedName>
    <definedName name="TRAVAUX20">#REF!</definedName>
    <definedName name="TRAVAUX21">#REF!</definedName>
    <definedName name="TRAVAUX22">#REF!</definedName>
    <definedName name="TRAVAUX25">#REF!</definedName>
    <definedName name="TRAVAUX27">#REF!</definedName>
    <definedName name="TRAVAUX28">#REF!</definedName>
    <definedName name="TRAVAUX29">#REF!</definedName>
    <definedName name="TRAVAUX31">#REF!</definedName>
    <definedName name="TRAVAUX32">#REF!</definedName>
    <definedName name="TRAVAUX33">#REF!</definedName>
    <definedName name="TRAVAUX34">#REF!</definedName>
    <definedName name="TRAVAUX35">#REF!</definedName>
    <definedName name="TRAVAUX36">#REF!</definedName>
    <definedName name="TRAVAUX38">#REF!</definedName>
    <definedName name="TRAVAUX39">#REF!</definedName>
    <definedName name="TRAVAUX40">#REF!</definedName>
    <definedName name="TRAVAUX41">#REF!</definedName>
    <definedName name="TRAVAUX42">#REF!</definedName>
    <definedName name="TRAVAUX43">#REF!</definedName>
    <definedName name="TRAVAUX44">#REF!</definedName>
    <definedName name="TRAVAUX45">#REF!</definedName>
    <definedName name="TRAVAUX47">#REF!</definedName>
    <definedName name="TRAVAUX48">#REF!</definedName>
    <definedName name="TRAVAUX49">#REF!</definedName>
    <definedName name="TRAVAUX50">#REF!</definedName>
    <definedName name="TRAVAUX51">#REF!</definedName>
    <definedName name="TRAVAUX53">#REF!</definedName>
    <definedName name="TRAVAUX58">#REF!</definedName>
    <definedName name="TRAVAUX59">#REF!</definedName>
    <definedName name="TRAVAUX67">#REF!</definedName>
    <definedName name="ZI">#REF!</definedName>
    <definedName name="_xlnm.Print_Are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23" l="1"/>
  <c r="G6" i="33"/>
  <c r="E803" i="40"/>
  <c r="D45" i="43"/>
  <c r="B31" i="43"/>
  <c r="B32" i="43"/>
  <c r="B33" i="43"/>
  <c r="B34" i="43"/>
  <c r="B35" i="43"/>
  <c r="B36" i="43"/>
  <c r="B37" i="43"/>
  <c r="B38" i="43"/>
  <c r="B39" i="43"/>
  <c r="B40" i="43"/>
  <c r="B41" i="43"/>
  <c r="B42" i="43"/>
  <c r="B43" i="43"/>
  <c r="B44" i="43"/>
  <c r="B30" i="43"/>
  <c r="B6" i="43"/>
  <c r="B7" i="43"/>
  <c r="B8" i="43"/>
  <c r="B9" i="43"/>
  <c r="B10" i="43"/>
  <c r="B11" i="43"/>
  <c r="B12" i="43"/>
  <c r="B13" i="43"/>
  <c r="B14" i="43"/>
  <c r="B15" i="43"/>
  <c r="B16" i="43"/>
  <c r="B17" i="43"/>
  <c r="B18" i="43"/>
  <c r="B19" i="43"/>
  <c r="B20" i="43"/>
  <c r="B21" i="43"/>
  <c r="B22" i="43"/>
  <c r="B23" i="43"/>
  <c r="B24" i="43"/>
  <c r="B25" i="43"/>
  <c r="B26" i="43"/>
  <c r="B27" i="43"/>
  <c r="B28" i="43"/>
  <c r="B29" i="43"/>
  <c r="E850" i="42"/>
  <c r="B6" i="42"/>
  <c r="B7" i="42"/>
  <c r="B8" i="42"/>
  <c r="B9" i="42"/>
  <c r="D30" i="41"/>
  <c r="B7" i="41"/>
  <c r="B8" i="41"/>
  <c r="B9" i="41"/>
  <c r="B10" i="41"/>
  <c r="B11" i="41"/>
  <c r="B12" i="41"/>
  <c r="B13" i="41"/>
  <c r="B14" i="41"/>
  <c r="B15" i="41"/>
  <c r="B16" i="41"/>
  <c r="B17" i="41"/>
  <c r="B18" i="41"/>
  <c r="B19" i="41"/>
  <c r="B20" i="41"/>
  <c r="B21" i="41"/>
  <c r="B22" i="41"/>
  <c r="B23" i="41"/>
  <c r="B24" i="41"/>
  <c r="B25" i="41"/>
  <c r="B26" i="41"/>
  <c r="B27" i="41"/>
  <c r="B28" i="41"/>
  <c r="B29" i="41"/>
  <c r="B6" i="41"/>
  <c r="E802" i="40"/>
  <c r="B6" i="40"/>
  <c r="B7" i="40"/>
  <c r="B8" i="40"/>
  <c r="O311" i="44"/>
  <c r="C311" i="44"/>
  <c r="B311" i="44"/>
  <c r="O310" i="44"/>
  <c r="C310" i="44"/>
  <c r="B310" i="44"/>
  <c r="O309" i="44"/>
  <c r="C309" i="44"/>
  <c r="B309" i="44"/>
  <c r="O308" i="44"/>
  <c r="C308" i="44"/>
  <c r="B308" i="44"/>
  <c r="O307" i="44"/>
  <c r="B307" i="44"/>
  <c r="O306" i="44"/>
  <c r="C306" i="44"/>
  <c r="B306" i="44"/>
  <c r="O305" i="44"/>
  <c r="C305" i="44"/>
  <c r="B305" i="44"/>
  <c r="O304" i="44"/>
  <c r="C304" i="44"/>
  <c r="B304" i="44"/>
  <c r="O303" i="44"/>
  <c r="C303" i="44"/>
  <c r="B303" i="44"/>
  <c r="O302" i="44"/>
  <c r="C302" i="44"/>
  <c r="B302" i="44"/>
  <c r="O301" i="44"/>
  <c r="C301" i="44"/>
  <c r="B301" i="44"/>
  <c r="O300" i="44"/>
  <c r="C300" i="44"/>
  <c r="B300" i="44"/>
  <c r="O299" i="44"/>
  <c r="C299" i="44"/>
  <c r="B299" i="44"/>
  <c r="O298" i="44"/>
  <c r="B298" i="44"/>
  <c r="O297" i="44"/>
  <c r="C297" i="44"/>
  <c r="B297" i="44"/>
  <c r="O296" i="44"/>
  <c r="C296" i="44"/>
  <c r="B296" i="44"/>
  <c r="O295" i="44"/>
  <c r="C295" i="44"/>
  <c r="B295" i="44"/>
  <c r="O294" i="44"/>
  <c r="C294" i="44"/>
  <c r="B294" i="44"/>
  <c r="O293" i="44"/>
  <c r="C293" i="44"/>
  <c r="B293" i="44"/>
  <c r="O292" i="44"/>
  <c r="B292" i="44"/>
  <c r="O291" i="44"/>
  <c r="C291" i="44"/>
  <c r="B291" i="44"/>
  <c r="O290" i="44"/>
  <c r="B290" i="44"/>
  <c r="O289" i="44"/>
  <c r="B289" i="44"/>
  <c r="O288" i="44"/>
  <c r="B288" i="44"/>
  <c r="O287" i="44"/>
  <c r="B287" i="44"/>
  <c r="O286" i="44"/>
  <c r="B286" i="44"/>
  <c r="O285" i="44"/>
  <c r="C285" i="44"/>
  <c r="B285" i="44"/>
  <c r="O284" i="44"/>
  <c r="C284" i="44"/>
  <c r="B284" i="44"/>
  <c r="O283" i="44"/>
  <c r="C283" i="44"/>
  <c r="B283" i="44"/>
  <c r="O282" i="44"/>
  <c r="C282" i="44"/>
  <c r="B282" i="44"/>
  <c r="O281" i="44"/>
  <c r="B281" i="44"/>
  <c r="O280" i="44"/>
  <c r="B280" i="44"/>
  <c r="O279" i="44"/>
  <c r="B279" i="44"/>
  <c r="O278" i="44"/>
  <c r="B278" i="44"/>
  <c r="O277" i="44"/>
  <c r="B277" i="44"/>
  <c r="O276" i="44"/>
  <c r="C276" i="44"/>
  <c r="B276" i="44"/>
  <c r="O275" i="44"/>
  <c r="C275" i="44"/>
  <c r="B275" i="44"/>
  <c r="O274" i="44"/>
  <c r="C274" i="44"/>
  <c r="B274" i="44"/>
  <c r="O273" i="44"/>
  <c r="C273" i="44"/>
  <c r="B273" i="44"/>
  <c r="O272" i="44"/>
  <c r="C272" i="44"/>
  <c r="B272" i="44"/>
  <c r="O271" i="44"/>
  <c r="C271" i="44"/>
  <c r="B271" i="44"/>
  <c r="O270" i="44"/>
  <c r="C270" i="44"/>
  <c r="B270" i="44"/>
  <c r="O269" i="44"/>
  <c r="C269" i="44"/>
  <c r="B269" i="44"/>
  <c r="O268" i="44"/>
  <c r="C268" i="44"/>
  <c r="B268" i="44"/>
  <c r="O267" i="44"/>
  <c r="C267" i="44"/>
  <c r="B267" i="44"/>
  <c r="O266" i="44"/>
  <c r="C266" i="44"/>
  <c r="B266" i="44"/>
  <c r="O265" i="44"/>
  <c r="C265" i="44"/>
  <c r="B265" i="44"/>
  <c r="O264" i="44"/>
  <c r="C264" i="44"/>
  <c r="B264" i="44"/>
  <c r="O263" i="44"/>
  <c r="C263" i="44"/>
  <c r="B263" i="44"/>
  <c r="O262" i="44"/>
  <c r="C262" i="44"/>
  <c r="B262" i="44"/>
  <c r="O261" i="44"/>
  <c r="C261" i="44"/>
  <c r="B261" i="44"/>
  <c r="O260" i="44"/>
  <c r="C260" i="44"/>
  <c r="B260" i="44"/>
  <c r="O259" i="44"/>
  <c r="C259" i="44"/>
  <c r="B259" i="44"/>
  <c r="O258" i="44"/>
  <c r="C258" i="44"/>
  <c r="B258" i="44"/>
  <c r="O257" i="44"/>
  <c r="C257" i="44"/>
  <c r="B257" i="44"/>
  <c r="O256" i="44"/>
  <c r="C256" i="44"/>
  <c r="B256" i="44"/>
  <c r="O255" i="44"/>
  <c r="C255" i="44"/>
  <c r="B255" i="44"/>
  <c r="O254" i="44"/>
  <c r="C254" i="44"/>
  <c r="B254" i="44"/>
  <c r="O253" i="44"/>
  <c r="C253" i="44"/>
  <c r="B253" i="44"/>
  <c r="O252" i="44"/>
  <c r="C252" i="44"/>
  <c r="B252" i="44"/>
  <c r="O251" i="44"/>
  <c r="B251" i="44"/>
  <c r="O250" i="44"/>
  <c r="C250" i="44"/>
  <c r="B250" i="44"/>
  <c r="O249" i="44"/>
  <c r="C249" i="44"/>
  <c r="B249" i="44"/>
  <c r="O248" i="44"/>
  <c r="C248" i="44"/>
  <c r="B248" i="44"/>
  <c r="O247" i="44"/>
  <c r="C247" i="44"/>
  <c r="B247" i="44"/>
  <c r="O246" i="44"/>
  <c r="C246" i="44"/>
  <c r="B246" i="44"/>
  <c r="O245" i="44"/>
  <c r="C245" i="44"/>
  <c r="B245" i="44"/>
  <c r="O244" i="44"/>
  <c r="C244" i="44"/>
  <c r="B244" i="44"/>
  <c r="O243" i="44"/>
  <c r="C243" i="44"/>
  <c r="B243" i="44"/>
  <c r="O242" i="44"/>
  <c r="C242" i="44"/>
  <c r="B242" i="44"/>
  <c r="O241" i="44"/>
  <c r="C241" i="44"/>
  <c r="B241" i="44"/>
  <c r="O240" i="44"/>
  <c r="C240" i="44"/>
  <c r="B240" i="44"/>
  <c r="O239" i="44"/>
  <c r="C239" i="44"/>
  <c r="B239" i="44"/>
  <c r="O238" i="44"/>
  <c r="C238" i="44"/>
  <c r="B238" i="44"/>
  <c r="O237" i="44"/>
  <c r="C237" i="44"/>
  <c r="B237" i="44"/>
  <c r="O236" i="44"/>
  <c r="C236" i="44"/>
  <c r="B236" i="44"/>
  <c r="O235" i="44"/>
  <c r="C235" i="44"/>
  <c r="B235" i="44"/>
  <c r="O234" i="44"/>
  <c r="C234" i="44"/>
  <c r="B234" i="44"/>
  <c r="O233" i="44"/>
  <c r="C233" i="44"/>
  <c r="B233" i="44"/>
  <c r="O232" i="44"/>
  <c r="C232" i="44"/>
  <c r="B232" i="44"/>
  <c r="O231" i="44"/>
  <c r="C231" i="44"/>
  <c r="B231" i="44"/>
  <c r="O230" i="44"/>
  <c r="C230" i="44"/>
  <c r="B230" i="44"/>
  <c r="O229" i="44"/>
  <c r="C229" i="44"/>
  <c r="B229" i="44"/>
  <c r="O228" i="44"/>
  <c r="C228" i="44"/>
  <c r="B228" i="44"/>
  <c r="O227" i="44"/>
  <c r="C227" i="44"/>
  <c r="B227" i="44"/>
  <c r="O226" i="44"/>
  <c r="C226" i="44"/>
  <c r="B226" i="44"/>
  <c r="O225" i="44"/>
  <c r="C225" i="44"/>
  <c r="B225" i="44"/>
  <c r="O224" i="44"/>
  <c r="C224" i="44"/>
  <c r="B224" i="44"/>
  <c r="O223" i="44"/>
  <c r="C223" i="44"/>
  <c r="B223" i="44"/>
  <c r="O222" i="44"/>
  <c r="C222" i="44"/>
  <c r="B222" i="44"/>
  <c r="O221" i="44"/>
  <c r="C221" i="44"/>
  <c r="B221" i="44"/>
  <c r="O220" i="44"/>
  <c r="C220" i="44"/>
  <c r="B220" i="44"/>
  <c r="O219" i="44"/>
  <c r="C219" i="44"/>
  <c r="B219" i="44"/>
  <c r="O218" i="44"/>
  <c r="C218" i="44"/>
  <c r="B218" i="44"/>
  <c r="O217" i="44"/>
  <c r="C217" i="44"/>
  <c r="B217" i="44"/>
  <c r="O216" i="44"/>
  <c r="C216" i="44"/>
  <c r="B216" i="44"/>
  <c r="O215" i="44"/>
  <c r="C215" i="44"/>
  <c r="B215" i="44"/>
  <c r="O214" i="44"/>
  <c r="C214" i="44"/>
  <c r="B214" i="44"/>
  <c r="O213" i="44"/>
  <c r="C213" i="44"/>
  <c r="B213" i="44"/>
  <c r="O212" i="44"/>
  <c r="C212" i="44"/>
  <c r="B212" i="44"/>
  <c r="O211" i="44"/>
  <c r="C211" i="44"/>
  <c r="B211" i="44"/>
  <c r="O210" i="44"/>
  <c r="C210" i="44"/>
  <c r="B210" i="44"/>
  <c r="O209" i="44"/>
  <c r="C209" i="44"/>
  <c r="B209" i="44"/>
  <c r="O208" i="44"/>
  <c r="C208" i="44"/>
  <c r="B208" i="44"/>
  <c r="O207" i="44"/>
  <c r="C207" i="44"/>
  <c r="B207" i="44"/>
  <c r="O206" i="44"/>
  <c r="C206" i="44"/>
  <c r="B206" i="44"/>
  <c r="O205" i="44"/>
  <c r="C205" i="44"/>
  <c r="B205" i="44"/>
  <c r="O204" i="44"/>
  <c r="C204" i="44"/>
  <c r="B204" i="44"/>
  <c r="O203" i="44"/>
  <c r="C203" i="44"/>
  <c r="B203" i="44"/>
  <c r="O202" i="44"/>
  <c r="C202" i="44"/>
  <c r="B202" i="44"/>
  <c r="O201" i="44"/>
  <c r="C201" i="44"/>
  <c r="B201" i="44"/>
  <c r="O200" i="44"/>
  <c r="C200" i="44"/>
  <c r="B200" i="44"/>
  <c r="O199" i="44"/>
  <c r="C199" i="44"/>
  <c r="B199" i="44"/>
  <c r="O198" i="44"/>
  <c r="C198" i="44"/>
  <c r="B198" i="44"/>
  <c r="O197" i="44"/>
  <c r="C197" i="44"/>
  <c r="B197" i="44"/>
  <c r="O196" i="44"/>
  <c r="C196" i="44"/>
  <c r="B196" i="44"/>
  <c r="O195" i="44"/>
  <c r="C195" i="44"/>
  <c r="B195" i="44"/>
  <c r="O194" i="44"/>
  <c r="C194" i="44"/>
  <c r="B194" i="44"/>
  <c r="O193" i="44"/>
  <c r="C193" i="44"/>
  <c r="B193" i="44"/>
  <c r="O192" i="44"/>
  <c r="C192" i="44"/>
  <c r="B192" i="44"/>
  <c r="O191" i="44"/>
  <c r="C191" i="44"/>
  <c r="B191" i="44"/>
  <c r="O190" i="44"/>
  <c r="C190" i="44"/>
  <c r="B190" i="44"/>
  <c r="O189" i="44"/>
  <c r="C189" i="44"/>
  <c r="B189" i="44"/>
  <c r="O188" i="44"/>
  <c r="C188" i="44"/>
  <c r="B188" i="44"/>
  <c r="O187" i="44"/>
  <c r="C187" i="44"/>
  <c r="B187" i="44"/>
  <c r="O186" i="44"/>
  <c r="B186" i="44"/>
  <c r="O185" i="44"/>
  <c r="B185" i="44"/>
  <c r="O184" i="44"/>
  <c r="C184" i="44"/>
  <c r="B184" i="44"/>
  <c r="O183" i="44"/>
  <c r="C183" i="44"/>
  <c r="B183" i="44"/>
  <c r="O182" i="44"/>
  <c r="C182" i="44"/>
  <c r="B182" i="44"/>
  <c r="O181" i="44"/>
  <c r="B181" i="44"/>
  <c r="O180" i="44"/>
  <c r="C180" i="44"/>
  <c r="B180" i="44"/>
  <c r="O179" i="44"/>
  <c r="C179" i="44"/>
  <c r="B179" i="44"/>
  <c r="O178" i="44"/>
  <c r="C178" i="44"/>
  <c r="B178" i="44"/>
  <c r="O177" i="44"/>
  <c r="C177" i="44"/>
  <c r="B177" i="44"/>
  <c r="O176" i="44"/>
  <c r="C176" i="44"/>
  <c r="B176" i="44"/>
  <c r="O175" i="44"/>
  <c r="C175" i="44"/>
  <c r="B175" i="44"/>
  <c r="O174" i="44"/>
  <c r="C174" i="44"/>
  <c r="B174" i="44"/>
  <c r="O173" i="44"/>
  <c r="C173" i="44"/>
  <c r="B173" i="44"/>
  <c r="O172" i="44"/>
  <c r="C172" i="44"/>
  <c r="B172" i="44"/>
  <c r="O171" i="44"/>
  <c r="C171" i="44"/>
  <c r="B171" i="44"/>
  <c r="O170" i="44"/>
  <c r="C170" i="44"/>
  <c r="B170" i="44"/>
  <c r="M114" i="44"/>
  <c r="D114" i="44"/>
  <c r="B114" i="44"/>
  <c r="M113" i="44"/>
  <c r="D113" i="44"/>
  <c r="B113" i="44"/>
  <c r="M112" i="44"/>
  <c r="D112" i="44"/>
  <c r="B112" i="44"/>
  <c r="M111" i="44"/>
  <c r="D111" i="44"/>
  <c r="B111" i="44"/>
  <c r="M110" i="44"/>
  <c r="D110" i="44"/>
  <c r="B110" i="44"/>
  <c r="M109" i="44"/>
  <c r="D109" i="44"/>
  <c r="B109" i="44"/>
  <c r="M108" i="44"/>
  <c r="D108" i="44"/>
  <c r="B108" i="44"/>
  <c r="M107" i="44"/>
  <c r="D107" i="44"/>
  <c r="B107" i="44"/>
  <c r="M106" i="44"/>
  <c r="D106" i="44"/>
  <c r="B106" i="44"/>
  <c r="M105" i="44"/>
  <c r="D105" i="44"/>
  <c r="B105" i="44"/>
  <c r="M104" i="44"/>
  <c r="B104" i="44"/>
  <c r="M103" i="44"/>
  <c r="D103" i="44"/>
  <c r="B103" i="44"/>
  <c r="M102" i="44"/>
  <c r="D102" i="44"/>
  <c r="B102" i="44"/>
  <c r="M101" i="44"/>
  <c r="D101" i="44"/>
  <c r="B101" i="44"/>
  <c r="M100" i="44"/>
  <c r="D100" i="44"/>
  <c r="B100" i="44"/>
  <c r="M99" i="44"/>
  <c r="D99" i="44"/>
  <c r="B99" i="44"/>
  <c r="M98" i="44"/>
  <c r="D98" i="44"/>
  <c r="B98" i="44"/>
  <c r="M97" i="44"/>
  <c r="D97" i="44"/>
  <c r="B97" i="44"/>
  <c r="M96" i="44"/>
  <c r="D96" i="44"/>
  <c r="B96" i="44"/>
  <c r="M95" i="44"/>
  <c r="D95" i="44"/>
  <c r="B95" i="44"/>
  <c r="M94" i="44"/>
  <c r="D94" i="44"/>
  <c r="B94" i="44"/>
  <c r="M93" i="44"/>
  <c r="D93" i="44"/>
  <c r="B93" i="44"/>
  <c r="M91" i="44"/>
  <c r="D91" i="44"/>
  <c r="B91" i="44"/>
  <c r="M90" i="44"/>
  <c r="D90" i="44"/>
  <c r="B90" i="44"/>
  <c r="M89" i="44"/>
  <c r="D89" i="44"/>
  <c r="B89" i="44"/>
  <c r="M88" i="44"/>
  <c r="D88" i="44"/>
  <c r="B88" i="44"/>
  <c r="M87" i="44"/>
  <c r="D87" i="44"/>
  <c r="B87" i="44"/>
  <c r="M86" i="44"/>
  <c r="D86" i="44"/>
  <c r="B86" i="44"/>
  <c r="M85" i="44"/>
  <c r="D85" i="44"/>
  <c r="B85" i="44"/>
  <c r="M84" i="44"/>
  <c r="D84" i="44"/>
  <c r="B84" i="44"/>
  <c r="M83" i="44"/>
  <c r="D83" i="44"/>
  <c r="B83" i="44"/>
  <c r="M82" i="44"/>
  <c r="D82" i="44"/>
  <c r="B82" i="44"/>
  <c r="M81" i="44"/>
  <c r="D81" i="44"/>
  <c r="B81" i="44"/>
  <c r="M80" i="44"/>
  <c r="D80" i="44"/>
  <c r="B80" i="44"/>
  <c r="M79" i="44"/>
  <c r="D79" i="44"/>
  <c r="B79" i="44"/>
  <c r="M78" i="44"/>
  <c r="D78" i="44"/>
  <c r="B78" i="44"/>
  <c r="M77" i="44"/>
  <c r="D77" i="44"/>
  <c r="B77" i="44"/>
  <c r="M76" i="44"/>
  <c r="D76" i="44"/>
  <c r="B76" i="44"/>
  <c r="M75" i="44"/>
  <c r="D75" i="44"/>
  <c r="B75" i="44"/>
  <c r="M74" i="44"/>
  <c r="D74" i="44"/>
  <c r="B74" i="44"/>
  <c r="M73" i="44"/>
  <c r="D73" i="44"/>
  <c r="B73" i="44"/>
  <c r="M71" i="44"/>
  <c r="D71" i="44"/>
  <c r="B71" i="44"/>
  <c r="M70" i="44"/>
  <c r="D70" i="44"/>
  <c r="B70" i="44"/>
  <c r="M69" i="44"/>
  <c r="D69" i="44"/>
  <c r="B69" i="44"/>
  <c r="M68" i="44"/>
  <c r="D68" i="44"/>
  <c r="B68" i="44"/>
  <c r="M67" i="44"/>
  <c r="D67" i="44"/>
  <c r="B67" i="44"/>
  <c r="M66" i="44"/>
  <c r="D66" i="44"/>
  <c r="B66" i="44"/>
  <c r="M65" i="44"/>
  <c r="D65" i="44"/>
  <c r="B65" i="44"/>
  <c r="M64" i="44"/>
  <c r="D64" i="44"/>
  <c r="B64" i="44"/>
  <c r="M63" i="44"/>
  <c r="D63" i="44"/>
  <c r="B63" i="44"/>
  <c r="M62" i="44"/>
  <c r="D62" i="44"/>
  <c r="B62" i="44"/>
  <c r="M61" i="44"/>
  <c r="D61" i="44"/>
  <c r="B61" i="44"/>
  <c r="M60" i="44"/>
  <c r="D60" i="44"/>
  <c r="B60" i="44"/>
  <c r="M59" i="44"/>
  <c r="D59" i="44"/>
  <c r="B59" i="44"/>
  <c r="M58" i="44"/>
  <c r="D58" i="44"/>
  <c r="B58" i="44"/>
  <c r="M57" i="44"/>
  <c r="D57" i="44"/>
  <c r="B57" i="44"/>
  <c r="M56" i="44"/>
  <c r="D56" i="44"/>
  <c r="B56" i="44"/>
  <c r="M55" i="44"/>
  <c r="D55" i="44"/>
  <c r="B55" i="44"/>
  <c r="M54" i="44"/>
  <c r="D54" i="44"/>
  <c r="B54" i="44"/>
  <c r="M53" i="44"/>
  <c r="D53" i="44"/>
  <c r="B53" i="44"/>
  <c r="M52" i="44"/>
  <c r="D52" i="44"/>
  <c r="B52" i="44"/>
  <c r="M51" i="44"/>
  <c r="D51" i="44"/>
  <c r="B51" i="44"/>
  <c r="M50" i="44"/>
  <c r="D50" i="44"/>
  <c r="B50" i="44"/>
  <c r="M49" i="44"/>
  <c r="D49" i="44"/>
  <c r="B49" i="44"/>
  <c r="M48" i="44"/>
  <c r="D48" i="44"/>
  <c r="B48" i="44"/>
  <c r="M47" i="44"/>
  <c r="D47" i="44"/>
  <c r="B47" i="44"/>
  <c r="M46" i="44"/>
  <c r="D46" i="44"/>
  <c r="B46" i="44"/>
  <c r="M45" i="44"/>
  <c r="D45" i="44"/>
  <c r="B45" i="44"/>
  <c r="M44" i="44"/>
  <c r="D44" i="44"/>
  <c r="B44" i="44"/>
  <c r="M43" i="44"/>
  <c r="D43" i="44"/>
  <c r="B43" i="44"/>
  <c r="M42" i="44"/>
  <c r="D42" i="44"/>
  <c r="B42" i="44"/>
  <c r="M41" i="44"/>
  <c r="D41" i="44"/>
  <c r="B41" i="44"/>
  <c r="M40" i="44"/>
  <c r="D40" i="44"/>
  <c r="B40" i="44"/>
  <c r="M39" i="44"/>
  <c r="D39" i="44"/>
  <c r="B39" i="44"/>
  <c r="M38" i="44"/>
  <c r="D38" i="44"/>
  <c r="B38" i="44"/>
  <c r="M37" i="44"/>
  <c r="D37" i="44"/>
  <c r="B37" i="44"/>
  <c r="M36" i="44"/>
  <c r="D36" i="44"/>
  <c r="B36" i="44"/>
  <c r="M35" i="44"/>
  <c r="D35" i="44"/>
  <c r="B35" i="44"/>
  <c r="M34" i="44"/>
  <c r="D34" i="44"/>
  <c r="B34" i="44"/>
  <c r="M33" i="44"/>
  <c r="D33" i="44"/>
  <c r="B33" i="44"/>
  <c r="M32" i="44"/>
  <c r="D32" i="44"/>
  <c r="B32" i="44"/>
  <c r="M31" i="44"/>
  <c r="D31" i="44"/>
  <c r="B31" i="44"/>
  <c r="M30" i="44"/>
  <c r="D30" i="44"/>
  <c r="B30" i="44"/>
  <c r="M29" i="44"/>
  <c r="D29" i="44"/>
  <c r="B29" i="44"/>
  <c r="M28" i="44"/>
  <c r="D28" i="44"/>
  <c r="B28" i="44"/>
  <c r="M27" i="44"/>
  <c r="D27" i="44"/>
  <c r="B27" i="44"/>
  <c r="M26" i="44"/>
  <c r="D26" i="44"/>
  <c r="B26" i="44"/>
  <c r="M25" i="44"/>
  <c r="D25" i="44"/>
  <c r="B25" i="44"/>
  <c r="M24" i="44"/>
  <c r="D24" i="44"/>
  <c r="B24" i="44"/>
  <c r="M23" i="44"/>
  <c r="D23" i="44"/>
  <c r="B23" i="44"/>
  <c r="M22" i="44"/>
  <c r="D22" i="44"/>
  <c r="B22" i="44"/>
  <c r="M21" i="44"/>
  <c r="D21" i="44"/>
  <c r="B21" i="44"/>
  <c r="M20" i="44"/>
  <c r="D20" i="44"/>
  <c r="B20" i="44"/>
  <c r="M19" i="44"/>
  <c r="D19" i="44"/>
  <c r="B19" i="44"/>
  <c r="M18" i="44"/>
  <c r="D18" i="44"/>
  <c r="B18" i="44"/>
  <c r="M17" i="44"/>
  <c r="D17" i="44"/>
  <c r="B17" i="44"/>
  <c r="M16" i="44"/>
  <c r="D16" i="44"/>
  <c r="B16" i="44"/>
  <c r="M15" i="44"/>
  <c r="D15" i="44"/>
  <c r="B15" i="44"/>
  <c r="M14" i="44"/>
  <c r="D14" i="44"/>
  <c r="B14" i="44"/>
  <c r="M13" i="44"/>
  <c r="D13" i="44"/>
  <c r="B13" i="44"/>
  <c r="M12" i="44"/>
  <c r="D12" i="44"/>
  <c r="B12" i="44"/>
  <c r="M11" i="44"/>
  <c r="D11" i="44"/>
  <c r="B11" i="44"/>
  <c r="M10" i="44"/>
  <c r="D10" i="44"/>
  <c r="B10" i="44"/>
  <c r="M9" i="44"/>
  <c r="D9" i="44"/>
  <c r="B9" i="44"/>
  <c r="M8" i="44"/>
  <c r="D8" i="44"/>
  <c r="B8" i="44"/>
  <c r="M7" i="44"/>
  <c r="D7" i="44"/>
  <c r="B7" i="44"/>
  <c r="M6" i="44"/>
  <c r="D6" i="44"/>
  <c r="B6" i="44"/>
  <c r="N705" i="39"/>
  <c r="B705" i="39"/>
  <c r="N704" i="39"/>
  <c r="B704" i="39"/>
  <c r="N703" i="39"/>
  <c r="B703" i="39"/>
  <c r="N702" i="39"/>
  <c r="B702" i="39"/>
  <c r="N119" i="39"/>
  <c r="C119" i="39"/>
  <c r="B119" i="39"/>
  <c r="N9" i="39"/>
  <c r="C9" i="39"/>
  <c r="B9" i="39"/>
  <c r="N10" i="39"/>
  <c r="C10" i="39"/>
  <c r="B10" i="39"/>
  <c r="N120" i="39"/>
  <c r="C120" i="39"/>
  <c r="B120" i="39"/>
  <c r="N121" i="39"/>
  <c r="C121" i="39"/>
  <c r="B121" i="39"/>
  <c r="N110" i="39"/>
  <c r="C110" i="39"/>
  <c r="B110" i="39"/>
  <c r="N111" i="39"/>
  <c r="C111" i="39"/>
  <c r="B111" i="39"/>
  <c r="N114" i="39"/>
  <c r="C114" i="39"/>
  <c r="B114" i="39"/>
  <c r="N112" i="39"/>
  <c r="C112" i="39"/>
  <c r="B112" i="39"/>
  <c r="N113" i="39"/>
  <c r="C113" i="39"/>
  <c r="B113" i="39"/>
  <c r="N809" i="39"/>
  <c r="C809" i="39"/>
  <c r="B809" i="39"/>
  <c r="N118" i="39"/>
  <c r="C118" i="39"/>
  <c r="B118" i="39"/>
  <c r="N117" i="39"/>
  <c r="C117" i="39"/>
  <c r="B117" i="39"/>
  <c r="N185" i="39"/>
  <c r="C185" i="39"/>
  <c r="B185" i="39"/>
  <c r="N175" i="39"/>
  <c r="C175" i="39"/>
  <c r="B175" i="39"/>
  <c r="N171" i="39"/>
  <c r="C171" i="39"/>
  <c r="B171" i="39"/>
  <c r="N172" i="39"/>
  <c r="C172" i="39"/>
  <c r="B172" i="39"/>
  <c r="N170" i="39"/>
  <c r="C170" i="39"/>
  <c r="B170" i="39"/>
  <c r="N169" i="39"/>
  <c r="C169" i="39"/>
  <c r="B169" i="39"/>
  <c r="N168" i="39"/>
  <c r="C168" i="39"/>
  <c r="B168" i="39"/>
  <c r="N167" i="39"/>
  <c r="C167" i="39"/>
  <c r="B167" i="39"/>
  <c r="N183" i="39"/>
  <c r="C183" i="39"/>
  <c r="B183" i="39"/>
  <c r="N187" i="39"/>
  <c r="C187" i="39"/>
  <c r="B187" i="39"/>
  <c r="N186" i="39"/>
  <c r="C186" i="39"/>
  <c r="B186" i="39"/>
  <c r="N184" i="39"/>
  <c r="C184" i="39"/>
  <c r="B184" i="39"/>
  <c r="N173" i="39"/>
  <c r="C173" i="39"/>
  <c r="B173" i="39"/>
  <c r="N109" i="39"/>
  <c r="C109" i="39"/>
  <c r="B109" i="39"/>
  <c r="N191" i="39"/>
  <c r="C191" i="39"/>
  <c r="B191" i="39"/>
  <c r="N194" i="39"/>
  <c r="C194" i="39"/>
  <c r="B194" i="39"/>
  <c r="N188" i="39"/>
  <c r="C188" i="39"/>
  <c r="B188" i="39"/>
  <c r="N193" i="39"/>
  <c r="C193" i="39"/>
  <c r="B193" i="39"/>
  <c r="N192" i="39"/>
  <c r="C192" i="39"/>
  <c r="B192" i="39"/>
  <c r="N195" i="39"/>
  <c r="C195" i="39"/>
  <c r="B195" i="39"/>
  <c r="N190" i="39"/>
  <c r="C190" i="39"/>
  <c r="B190" i="39"/>
  <c r="N201" i="39"/>
  <c r="C201" i="39"/>
  <c r="B201" i="39"/>
  <c r="N200" i="39"/>
  <c r="C200" i="39"/>
  <c r="B200" i="39"/>
  <c r="N641" i="39"/>
  <c r="C641" i="39"/>
  <c r="B641" i="39"/>
  <c r="N189" i="39"/>
  <c r="C189" i="39"/>
  <c r="B189" i="39"/>
  <c r="N213" i="39"/>
  <c r="C213" i="39"/>
  <c r="B213" i="39"/>
  <c r="N212" i="39"/>
  <c r="C212" i="39"/>
  <c r="B212" i="39"/>
  <c r="N174" i="39"/>
  <c r="C174" i="39"/>
  <c r="B174" i="39"/>
  <c r="N134" i="39"/>
  <c r="C134" i="39"/>
  <c r="B134" i="39"/>
  <c r="N631" i="39"/>
  <c r="C631" i="39"/>
  <c r="B631" i="39"/>
  <c r="N630" i="39"/>
  <c r="C630" i="39"/>
  <c r="B630" i="39"/>
  <c r="N137" i="39"/>
  <c r="C137" i="39"/>
  <c r="B137" i="39"/>
  <c r="N133" i="39"/>
  <c r="C133" i="39"/>
  <c r="B133" i="39"/>
  <c r="N629" i="39"/>
  <c r="C629" i="39"/>
  <c r="B629" i="39"/>
  <c r="N135" i="39"/>
  <c r="C135" i="39"/>
  <c r="B135" i="39"/>
  <c r="N643" i="39"/>
  <c r="C643" i="39"/>
  <c r="B643" i="39"/>
  <c r="N145" i="39"/>
  <c r="C145" i="39"/>
  <c r="B145" i="39"/>
  <c r="N148" i="39"/>
  <c r="C148" i="39"/>
  <c r="B148" i="39"/>
  <c r="N143" i="39"/>
  <c r="C143" i="39"/>
  <c r="B143" i="39"/>
  <c r="N13" i="39"/>
  <c r="C13" i="39"/>
  <c r="B13" i="39"/>
  <c r="N140" i="39"/>
  <c r="C140" i="39"/>
  <c r="B140" i="39"/>
  <c r="N141" i="39"/>
  <c r="C141" i="39"/>
  <c r="B141" i="39"/>
  <c r="N142" i="39"/>
  <c r="C142" i="39"/>
  <c r="B142" i="39"/>
  <c r="N147" i="39"/>
  <c r="C147" i="39"/>
  <c r="B147" i="39"/>
  <c r="N146" i="39"/>
  <c r="C146" i="39"/>
  <c r="B146" i="39"/>
  <c r="N150" i="39"/>
  <c r="C150" i="39"/>
  <c r="B150" i="39"/>
  <c r="N149" i="39"/>
  <c r="C149" i="39"/>
  <c r="B149" i="39"/>
  <c r="N156" i="39"/>
  <c r="C156" i="39"/>
  <c r="B156" i="39"/>
  <c r="N144" i="39"/>
  <c r="C144" i="39"/>
  <c r="B144" i="39"/>
  <c r="N158" i="39"/>
  <c r="C158" i="39"/>
  <c r="B158" i="39"/>
  <c r="N163" i="39"/>
  <c r="C163" i="39"/>
  <c r="B163" i="39"/>
  <c r="N632" i="39"/>
  <c r="C632" i="39"/>
  <c r="B632" i="39"/>
  <c r="N160" i="39"/>
  <c r="C160" i="39"/>
  <c r="B160" i="39"/>
  <c r="N161" i="39"/>
  <c r="C161" i="39"/>
  <c r="B161" i="39"/>
  <c r="N159" i="39"/>
  <c r="C159" i="39"/>
  <c r="B159" i="39"/>
  <c r="N165" i="39"/>
  <c r="C165" i="39"/>
  <c r="B165" i="39"/>
  <c r="N108" i="39"/>
  <c r="C108" i="39"/>
  <c r="B108" i="39"/>
  <c r="N20" i="39"/>
  <c r="C20" i="39"/>
  <c r="B20" i="39"/>
  <c r="N19" i="39"/>
  <c r="C19" i="39"/>
  <c r="B19" i="39"/>
  <c r="N18" i="39"/>
  <c r="C18" i="39"/>
  <c r="B18" i="39"/>
  <c r="N17" i="39"/>
  <c r="C17" i="39"/>
  <c r="B17" i="39"/>
  <c r="N164" i="39"/>
  <c r="C164" i="39"/>
  <c r="B164" i="39"/>
  <c r="N179" i="39"/>
  <c r="C179" i="39"/>
  <c r="B179" i="39"/>
  <c r="N633" i="39"/>
  <c r="C633" i="39"/>
  <c r="B633" i="39"/>
  <c r="N636" i="39"/>
  <c r="C636" i="39"/>
  <c r="B636" i="39"/>
  <c r="N162" i="39"/>
  <c r="C162" i="39"/>
  <c r="B162" i="39"/>
  <c r="N639" i="39"/>
  <c r="C639" i="39"/>
  <c r="B639" i="39"/>
  <c r="N637" i="39"/>
  <c r="C637" i="39"/>
  <c r="B637" i="39"/>
  <c r="N640" i="39"/>
  <c r="C640" i="39"/>
  <c r="B640" i="39"/>
  <c r="N638" i="39"/>
  <c r="C638" i="39"/>
  <c r="B638" i="39"/>
  <c r="N642" i="39"/>
  <c r="C642" i="39"/>
  <c r="B642" i="39"/>
  <c r="N645" i="39"/>
  <c r="C645" i="39"/>
  <c r="B645" i="39"/>
  <c r="N205" i="39"/>
  <c r="C205" i="39"/>
  <c r="B205" i="39"/>
  <c r="N14" i="39"/>
  <c r="C14" i="39"/>
  <c r="B14" i="39"/>
  <c r="N644" i="39"/>
  <c r="C644" i="39"/>
  <c r="B644" i="39"/>
  <c r="N217" i="39"/>
  <c r="C217" i="39"/>
  <c r="B217" i="39"/>
  <c r="N216" i="39"/>
  <c r="C216" i="39"/>
  <c r="B216" i="39"/>
  <c r="N218" i="39"/>
  <c r="C218" i="39"/>
  <c r="B218" i="39"/>
  <c r="N21" i="39"/>
  <c r="C21" i="39"/>
  <c r="B21" i="39"/>
  <c r="N15" i="39"/>
  <c r="C15" i="39"/>
  <c r="B15" i="39"/>
  <c r="N16" i="39"/>
  <c r="C16" i="39"/>
  <c r="B16" i="39"/>
  <c r="N207" i="39"/>
  <c r="C207" i="39"/>
  <c r="B207" i="39"/>
  <c r="N208" i="39"/>
  <c r="C208" i="39"/>
  <c r="B208" i="39"/>
  <c r="N646" i="39"/>
  <c r="C646" i="39"/>
  <c r="B646" i="39"/>
  <c r="N215" i="39"/>
  <c r="C215" i="39"/>
  <c r="B215" i="39"/>
  <c r="N226" i="39"/>
  <c r="C226" i="39"/>
  <c r="B226" i="39"/>
  <c r="N115" i="39"/>
  <c r="C115" i="39"/>
  <c r="B115" i="39"/>
  <c r="N228" i="39"/>
  <c r="C228" i="39"/>
  <c r="B228" i="39"/>
  <c r="N227" i="39"/>
  <c r="C227" i="39"/>
  <c r="B227" i="39"/>
  <c r="N225" i="39"/>
  <c r="C225" i="39"/>
  <c r="B225" i="39"/>
  <c r="N231" i="39"/>
  <c r="C231" i="39"/>
  <c r="B231" i="39"/>
  <c r="N236" i="39"/>
  <c r="C236" i="39"/>
  <c r="B236" i="39"/>
  <c r="N240" i="39"/>
  <c r="C240" i="39"/>
  <c r="B240" i="39"/>
  <c r="N239" i="39"/>
  <c r="C239" i="39"/>
  <c r="B239" i="39"/>
  <c r="N238" i="39"/>
  <c r="C238" i="39"/>
  <c r="B238" i="39"/>
  <c r="N237" i="39"/>
  <c r="C237" i="39"/>
  <c r="B237" i="39"/>
  <c r="N241" i="39"/>
  <c r="C241" i="39"/>
  <c r="B241" i="39"/>
  <c r="N246" i="39"/>
  <c r="C246" i="39"/>
  <c r="B246" i="39"/>
  <c r="N244" i="39"/>
  <c r="C244" i="39"/>
  <c r="B244" i="39"/>
  <c r="N245" i="39"/>
  <c r="C245" i="39"/>
  <c r="B245" i="39"/>
  <c r="N247" i="39"/>
  <c r="C247" i="39"/>
  <c r="B247" i="39"/>
  <c r="N253" i="39"/>
  <c r="C253" i="39"/>
  <c r="B253" i="39"/>
  <c r="N252" i="39"/>
  <c r="C252" i="39"/>
  <c r="B252" i="39"/>
  <c r="N255" i="39"/>
  <c r="C255" i="39"/>
  <c r="B255" i="39"/>
  <c r="N658" i="39"/>
  <c r="C658" i="39"/>
  <c r="B658" i="39"/>
  <c r="N659" i="39"/>
  <c r="C659" i="39"/>
  <c r="B659" i="39"/>
  <c r="N656" i="39"/>
  <c r="C656" i="39"/>
  <c r="B656" i="39"/>
  <c r="N660" i="39"/>
  <c r="C660" i="39"/>
  <c r="B660" i="39"/>
  <c r="N254" i="39"/>
  <c r="C254" i="39"/>
  <c r="B254" i="39"/>
  <c r="N262" i="39"/>
  <c r="C262" i="39"/>
  <c r="B262" i="39"/>
  <c r="N654" i="39"/>
  <c r="C654" i="39"/>
  <c r="B654" i="39"/>
  <c r="N653" i="39"/>
  <c r="C653" i="39"/>
  <c r="B653" i="39"/>
  <c r="N655" i="39"/>
  <c r="C655" i="39"/>
  <c r="B655" i="39"/>
  <c r="N264" i="39"/>
  <c r="C264" i="39"/>
  <c r="B264" i="39"/>
  <c r="N263" i="39"/>
  <c r="C263" i="39"/>
  <c r="B263" i="39"/>
  <c r="N206" i="39"/>
  <c r="C206" i="39"/>
  <c r="B206" i="39"/>
  <c r="N265" i="39"/>
  <c r="C265" i="39"/>
  <c r="B265" i="39"/>
  <c r="N266" i="39"/>
  <c r="C266" i="39"/>
  <c r="B266" i="39"/>
  <c r="N261" i="39"/>
  <c r="C261" i="39"/>
  <c r="B261" i="39"/>
  <c r="N136" i="39"/>
  <c r="C136" i="39"/>
  <c r="B136" i="39"/>
  <c r="N23" i="39"/>
  <c r="C23" i="39"/>
  <c r="B23" i="39"/>
  <c r="N24" i="39"/>
  <c r="C24" i="39"/>
  <c r="B24" i="39"/>
  <c r="N26" i="39"/>
  <c r="C26" i="39"/>
  <c r="B26" i="39"/>
  <c r="N92" i="39"/>
  <c r="C92" i="39"/>
  <c r="B92" i="39"/>
  <c r="N91" i="39"/>
  <c r="C91" i="39"/>
  <c r="B91" i="39"/>
  <c r="N268" i="39"/>
  <c r="C268" i="39"/>
  <c r="B268" i="39"/>
  <c r="N280" i="39"/>
  <c r="C280" i="39"/>
  <c r="B280" i="39"/>
  <c r="N272" i="39"/>
  <c r="C272" i="39"/>
  <c r="B272" i="39"/>
  <c r="N273" i="39"/>
  <c r="C273" i="39"/>
  <c r="B273" i="39"/>
  <c r="N270" i="39"/>
  <c r="C270" i="39"/>
  <c r="B270" i="39"/>
  <c r="N271" i="39"/>
  <c r="C271" i="39"/>
  <c r="B271" i="39"/>
  <c r="N282" i="39"/>
  <c r="C282" i="39"/>
  <c r="B282" i="39"/>
  <c r="N35" i="39"/>
  <c r="C35" i="39"/>
  <c r="B35" i="39"/>
  <c r="N297" i="39"/>
  <c r="C297" i="39"/>
  <c r="B297" i="39"/>
  <c r="N296" i="39"/>
  <c r="C296" i="39"/>
  <c r="B296" i="39"/>
  <c r="N298" i="39"/>
  <c r="C298" i="39"/>
  <c r="B298" i="39"/>
  <c r="N283" i="39"/>
  <c r="C283" i="39"/>
  <c r="B283" i="39"/>
  <c r="N292" i="39"/>
  <c r="C292" i="39"/>
  <c r="B292" i="39"/>
  <c r="N286" i="39"/>
  <c r="C286" i="39"/>
  <c r="B286" i="39"/>
  <c r="N287" i="39"/>
  <c r="C287" i="39"/>
  <c r="B287" i="39"/>
  <c r="N285" i="39"/>
  <c r="C285" i="39"/>
  <c r="B285" i="39"/>
  <c r="N288" i="39"/>
  <c r="C288" i="39"/>
  <c r="B288" i="39"/>
  <c r="N289" i="39"/>
  <c r="C289" i="39"/>
  <c r="B289" i="39"/>
  <c r="N279" i="39"/>
  <c r="C279" i="39"/>
  <c r="B279" i="39"/>
  <c r="N290" i="39"/>
  <c r="C290" i="39"/>
  <c r="B290" i="39"/>
  <c r="N291" i="39"/>
  <c r="C291" i="39"/>
  <c r="B291" i="39"/>
  <c r="N284" i="39"/>
  <c r="C284" i="39"/>
  <c r="B284" i="39"/>
  <c r="N670" i="39"/>
  <c r="C670" i="39"/>
  <c r="B670" i="39"/>
  <c r="N293" i="39"/>
  <c r="C293" i="39"/>
  <c r="B293" i="39"/>
  <c r="N281" i="39"/>
  <c r="C281" i="39"/>
  <c r="B281" i="39"/>
  <c r="N302" i="39"/>
  <c r="C302" i="39"/>
  <c r="B302" i="39"/>
  <c r="N671" i="39"/>
  <c r="C671" i="39"/>
  <c r="B671" i="39"/>
  <c r="N294" i="39"/>
  <c r="C294" i="39"/>
  <c r="B294" i="39"/>
  <c r="N295" i="39"/>
  <c r="C295" i="39"/>
  <c r="B295" i="39"/>
  <c r="N673" i="39"/>
  <c r="C673" i="39"/>
  <c r="B673" i="39"/>
  <c r="N305" i="39"/>
  <c r="C305" i="39"/>
  <c r="B305" i="39"/>
  <c r="N308" i="39"/>
  <c r="C308" i="39"/>
  <c r="B308" i="39"/>
  <c r="N303" i="39"/>
  <c r="C303" i="39"/>
  <c r="B303" i="39"/>
  <c r="N25" i="39"/>
  <c r="C25" i="39"/>
  <c r="B25" i="39"/>
  <c r="N29" i="39"/>
  <c r="C29" i="39"/>
  <c r="B29" i="39"/>
  <c r="N304" i="39"/>
  <c r="C304" i="39"/>
  <c r="B304" i="39"/>
  <c r="N672" i="39"/>
  <c r="C672" i="39"/>
  <c r="B672" i="39"/>
  <c r="N309" i="39"/>
  <c r="C309" i="39"/>
  <c r="B309" i="39"/>
  <c r="N28" i="39"/>
  <c r="C28" i="39"/>
  <c r="B28" i="39"/>
  <c r="N307" i="39"/>
  <c r="C307" i="39"/>
  <c r="B307" i="39"/>
  <c r="N306" i="39"/>
  <c r="C306" i="39"/>
  <c r="B306" i="39"/>
  <c r="N27" i="39"/>
  <c r="C27" i="39"/>
  <c r="B27" i="39"/>
  <c r="N310" i="39"/>
  <c r="C310" i="39"/>
  <c r="B310" i="39"/>
  <c r="N314" i="39"/>
  <c r="C314" i="39"/>
  <c r="B314" i="39"/>
  <c r="N311" i="39"/>
  <c r="C311" i="39"/>
  <c r="B311" i="39"/>
  <c r="N33" i="39"/>
  <c r="C33" i="39"/>
  <c r="B33" i="39"/>
  <c r="N312" i="39"/>
  <c r="C312" i="39"/>
  <c r="B312" i="39"/>
  <c r="N313" i="39"/>
  <c r="C313" i="39"/>
  <c r="B313" i="39"/>
  <c r="N324" i="39"/>
  <c r="C324" i="39"/>
  <c r="B324" i="39"/>
  <c r="N326" i="39"/>
  <c r="C326" i="39"/>
  <c r="B326" i="39"/>
  <c r="N325" i="39"/>
  <c r="C325" i="39"/>
  <c r="B325" i="39"/>
  <c r="N315" i="39"/>
  <c r="C315" i="39"/>
  <c r="B315" i="39"/>
  <c r="N808" i="39"/>
  <c r="C808" i="39"/>
  <c r="B808" i="39"/>
  <c r="N333" i="39"/>
  <c r="C333" i="39"/>
  <c r="B333" i="39"/>
  <c r="N323" i="39"/>
  <c r="C323" i="39"/>
  <c r="B323" i="39"/>
  <c r="N330" i="39"/>
  <c r="C330" i="39"/>
  <c r="B330" i="39"/>
  <c r="N329" i="39"/>
  <c r="C329" i="39"/>
  <c r="B329" i="39"/>
  <c r="N327" i="39"/>
  <c r="C327" i="39"/>
  <c r="B327" i="39"/>
  <c r="N328" i="39"/>
  <c r="C328" i="39"/>
  <c r="B328" i="39"/>
  <c r="N334" i="39"/>
  <c r="C334" i="39"/>
  <c r="B334" i="39"/>
  <c r="N335" i="39"/>
  <c r="C335" i="39"/>
  <c r="B335" i="39"/>
  <c r="N675" i="39"/>
  <c r="C675" i="39"/>
  <c r="B675" i="39"/>
  <c r="N37" i="39"/>
  <c r="C37" i="39"/>
  <c r="B37" i="39"/>
  <c r="N332" i="39"/>
  <c r="C332" i="39"/>
  <c r="B332" i="39"/>
  <c r="N343" i="39"/>
  <c r="C343" i="39"/>
  <c r="B343" i="39"/>
  <c r="N681" i="39"/>
  <c r="C681" i="39"/>
  <c r="B681" i="39"/>
  <c r="N336" i="39"/>
  <c r="C336" i="39"/>
  <c r="B336" i="39"/>
  <c r="N680" i="39"/>
  <c r="C680" i="39"/>
  <c r="B680" i="39"/>
  <c r="N682" i="39"/>
  <c r="C682" i="39"/>
  <c r="B682" i="39"/>
  <c r="N331" i="39"/>
  <c r="C331" i="39"/>
  <c r="B331" i="39"/>
  <c r="N683" i="39"/>
  <c r="C683" i="39"/>
  <c r="B683" i="39"/>
  <c r="N349" i="39"/>
  <c r="C349" i="39"/>
  <c r="B349" i="39"/>
  <c r="N684" i="39"/>
  <c r="C684" i="39"/>
  <c r="B684" i="39"/>
  <c r="N807" i="39"/>
  <c r="C807" i="39"/>
  <c r="B807" i="39"/>
  <c r="N649" i="39"/>
  <c r="C649" i="39"/>
  <c r="B649" i="39"/>
  <c r="N685" i="39"/>
  <c r="C685" i="39"/>
  <c r="B685" i="39"/>
  <c r="N686" i="39"/>
  <c r="C686" i="39"/>
  <c r="B686" i="39"/>
  <c r="N347" i="39"/>
  <c r="C347" i="39"/>
  <c r="B347" i="39"/>
  <c r="N346" i="39"/>
  <c r="C346" i="39"/>
  <c r="B346" i="39"/>
  <c r="N345" i="39"/>
  <c r="C345" i="39"/>
  <c r="B345" i="39"/>
  <c r="N257" i="39"/>
  <c r="C257" i="39"/>
  <c r="B257" i="39"/>
  <c r="N337" i="39"/>
  <c r="C337" i="39"/>
  <c r="B337" i="39"/>
  <c r="N229" i="39"/>
  <c r="C229" i="39"/>
  <c r="B229" i="39"/>
  <c r="N260" i="39"/>
  <c r="C260" i="39"/>
  <c r="B260" i="39"/>
  <c r="N94" i="39"/>
  <c r="C94" i="39"/>
  <c r="B94" i="39"/>
  <c r="N351" i="39"/>
  <c r="C351" i="39"/>
  <c r="B351" i="39"/>
  <c r="N22" i="39"/>
  <c r="C22" i="39"/>
  <c r="B22" i="39"/>
  <c r="N36" i="39"/>
  <c r="C36" i="39"/>
  <c r="B36" i="39"/>
  <c r="N355" i="39"/>
  <c r="C355" i="39"/>
  <c r="B355" i="39"/>
  <c r="N806" i="39"/>
  <c r="C806" i="39"/>
  <c r="B806" i="39"/>
  <c r="N371" i="39"/>
  <c r="C371" i="39"/>
  <c r="B371" i="39"/>
  <c r="N370" i="39"/>
  <c r="C370" i="39"/>
  <c r="B370" i="39"/>
  <c r="N350" i="39"/>
  <c r="C350" i="39"/>
  <c r="B350" i="39"/>
  <c r="N372" i="39"/>
  <c r="C372" i="39"/>
  <c r="B372" i="39"/>
  <c r="N354" i="39"/>
  <c r="C354" i="39"/>
  <c r="B354" i="39"/>
  <c r="N357" i="39"/>
  <c r="C357" i="39"/>
  <c r="B357" i="39"/>
  <c r="N356" i="39"/>
  <c r="C356" i="39"/>
  <c r="B356" i="39"/>
  <c r="N32" i="39"/>
  <c r="C32" i="39"/>
  <c r="B32" i="39"/>
  <c r="N374" i="39"/>
  <c r="C374" i="39"/>
  <c r="B374" i="39"/>
  <c r="N373" i="39"/>
  <c r="C373" i="39"/>
  <c r="B373" i="39"/>
  <c r="N344" i="39"/>
  <c r="C344" i="39"/>
  <c r="B344" i="39"/>
  <c r="N377" i="39"/>
  <c r="C377" i="39"/>
  <c r="B377" i="39"/>
  <c r="N376" i="39"/>
  <c r="C376" i="39"/>
  <c r="B376" i="39"/>
  <c r="N375" i="39"/>
  <c r="C375" i="39"/>
  <c r="B375" i="39"/>
  <c r="N379" i="39"/>
  <c r="C379" i="39"/>
  <c r="B379" i="39"/>
  <c r="N688" i="39"/>
  <c r="C688" i="39"/>
  <c r="B688" i="39"/>
  <c r="N689" i="39"/>
  <c r="C689" i="39"/>
  <c r="B689" i="39"/>
  <c r="N378" i="39"/>
  <c r="C378" i="39"/>
  <c r="B378" i="39"/>
  <c r="N381" i="39"/>
  <c r="C381" i="39"/>
  <c r="B381" i="39"/>
  <c r="N380" i="39"/>
  <c r="C380" i="39"/>
  <c r="B380" i="39"/>
  <c r="N385" i="39"/>
  <c r="C385" i="39"/>
  <c r="B385" i="39"/>
  <c r="N805" i="39"/>
  <c r="C805" i="39"/>
  <c r="B805" i="39"/>
  <c r="N804" i="39"/>
  <c r="C804" i="39"/>
  <c r="B804" i="39"/>
  <c r="N122" i="39"/>
  <c r="C122" i="39"/>
  <c r="B122" i="39"/>
  <c r="N393" i="39"/>
  <c r="C393" i="39"/>
  <c r="B393" i="39"/>
  <c r="N394" i="39"/>
  <c r="C394" i="39"/>
  <c r="B394" i="39"/>
  <c r="N405" i="39"/>
  <c r="C405" i="39"/>
  <c r="B405" i="39"/>
  <c r="N402" i="39"/>
  <c r="C402" i="39"/>
  <c r="B402" i="39"/>
  <c r="N403" i="39"/>
  <c r="C403" i="39"/>
  <c r="B403" i="39"/>
  <c r="N669" i="39"/>
  <c r="C669" i="39"/>
  <c r="B669" i="39"/>
  <c r="N404" i="39"/>
  <c r="C404" i="39"/>
  <c r="B404" i="39"/>
  <c r="N398" i="39"/>
  <c r="C398" i="39"/>
  <c r="B398" i="39"/>
  <c r="N397" i="39"/>
  <c r="C397" i="39"/>
  <c r="B397" i="39"/>
  <c r="N413" i="39"/>
  <c r="C413" i="39"/>
  <c r="B413" i="39"/>
  <c r="N39" i="39"/>
  <c r="C39" i="39"/>
  <c r="B39" i="39"/>
  <c r="N406" i="39"/>
  <c r="C406" i="39"/>
  <c r="B406" i="39"/>
  <c r="N410" i="39"/>
  <c r="C410" i="39"/>
  <c r="B410" i="39"/>
  <c r="N408" i="39"/>
  <c r="C408" i="39"/>
  <c r="B408" i="39"/>
  <c r="N95" i="39"/>
  <c r="C95" i="39"/>
  <c r="B95" i="39"/>
  <c r="N409" i="39"/>
  <c r="C409" i="39"/>
  <c r="B409" i="39"/>
  <c r="N803" i="39"/>
  <c r="C803" i="39"/>
  <c r="B803" i="39"/>
  <c r="N418" i="39"/>
  <c r="C418" i="39"/>
  <c r="B418" i="39"/>
  <c r="N420" i="39"/>
  <c r="C420" i="39"/>
  <c r="B420" i="39"/>
  <c r="N427" i="39"/>
  <c r="C427" i="39"/>
  <c r="B427" i="39"/>
  <c r="N421" i="39"/>
  <c r="C421" i="39"/>
  <c r="B421" i="39"/>
  <c r="N417" i="39"/>
  <c r="C417" i="39"/>
  <c r="B417" i="39"/>
  <c r="N425" i="39"/>
  <c r="C425" i="39"/>
  <c r="B425" i="39"/>
  <c r="N419" i="39"/>
  <c r="C419" i="39"/>
  <c r="B419" i="39"/>
  <c r="N412" i="39"/>
  <c r="C412" i="39"/>
  <c r="B412" i="39"/>
  <c r="N423" i="39"/>
  <c r="C423" i="39"/>
  <c r="B423" i="39"/>
  <c r="N422" i="39"/>
  <c r="C422" i="39"/>
  <c r="B422" i="39"/>
  <c r="N802" i="39"/>
  <c r="C802" i="39"/>
  <c r="B802" i="39"/>
  <c r="N128" i="39"/>
  <c r="C128" i="39"/>
  <c r="B128" i="39"/>
  <c r="N432" i="39"/>
  <c r="C432" i="39"/>
  <c r="B432" i="39"/>
  <c r="N436" i="39"/>
  <c r="C436" i="39"/>
  <c r="B436" i="39"/>
  <c r="N435" i="39"/>
  <c r="C435" i="39"/>
  <c r="B435" i="39"/>
  <c r="N434" i="39"/>
  <c r="C434" i="39"/>
  <c r="B434" i="39"/>
  <c r="N433" i="39"/>
  <c r="C433" i="39"/>
  <c r="B433" i="39"/>
  <c r="N439" i="39"/>
  <c r="C439" i="39"/>
  <c r="B439" i="39"/>
  <c r="N734" i="39"/>
  <c r="C734" i="39"/>
  <c r="B734" i="39"/>
  <c r="N693" i="39"/>
  <c r="C693" i="39"/>
  <c r="B693" i="39"/>
  <c r="N437" i="39"/>
  <c r="C437" i="39"/>
  <c r="B437" i="39"/>
  <c r="N694" i="39"/>
  <c r="C694" i="39"/>
  <c r="B694" i="39"/>
  <c r="N6" i="39"/>
  <c r="C6" i="39"/>
  <c r="B6" i="39"/>
  <c r="N438" i="39"/>
  <c r="C438" i="39"/>
  <c r="B438" i="39"/>
  <c r="N444" i="39"/>
  <c r="C444" i="39"/>
  <c r="B444" i="39"/>
  <c r="N701" i="39"/>
  <c r="C701" i="39"/>
  <c r="B701" i="39"/>
  <c r="N700" i="39"/>
  <c r="C700" i="39"/>
  <c r="B700" i="39"/>
  <c r="N429" i="39"/>
  <c r="C429" i="39"/>
  <c r="B429" i="39"/>
  <c r="N442" i="39"/>
  <c r="C442" i="39"/>
  <c r="B442" i="39"/>
  <c r="N443" i="39"/>
  <c r="C443" i="39"/>
  <c r="B443" i="39"/>
  <c r="N124" i="39"/>
  <c r="C124" i="39"/>
  <c r="B124" i="39"/>
  <c r="N692" i="39"/>
  <c r="C692" i="39"/>
  <c r="B692" i="39"/>
  <c r="N696" i="39"/>
  <c r="C696" i="39"/>
  <c r="B696" i="39"/>
  <c r="N697" i="39"/>
  <c r="C697" i="39"/>
  <c r="B697" i="39"/>
  <c r="N698" i="39"/>
  <c r="C698" i="39"/>
  <c r="B698" i="39"/>
  <c r="N699" i="39"/>
  <c r="C699" i="39"/>
  <c r="B699" i="39"/>
  <c r="N450" i="39"/>
  <c r="C450" i="39"/>
  <c r="B450" i="39"/>
  <c r="N447" i="39"/>
  <c r="C447" i="39"/>
  <c r="B447" i="39"/>
  <c r="N446" i="39"/>
  <c r="C446" i="39"/>
  <c r="B446" i="39"/>
  <c r="N41" i="39"/>
  <c r="C41" i="39"/>
  <c r="B41" i="39"/>
  <c r="N449" i="39"/>
  <c r="C449" i="39"/>
  <c r="B449" i="39"/>
  <c r="N452" i="39"/>
  <c r="C452" i="39"/>
  <c r="B452" i="39"/>
  <c r="N426" i="39"/>
  <c r="C426" i="39"/>
  <c r="B426" i="39"/>
  <c r="N707" i="39"/>
  <c r="C707" i="39"/>
  <c r="B707" i="39"/>
  <c r="N695" i="39"/>
  <c r="C695" i="39"/>
  <c r="B695" i="39"/>
  <c r="N706" i="39"/>
  <c r="C706" i="39"/>
  <c r="B706" i="39"/>
  <c r="N440" i="39"/>
  <c r="C440" i="39"/>
  <c r="B440" i="39"/>
  <c r="N457" i="39"/>
  <c r="C457" i="39"/>
  <c r="B457" i="39"/>
  <c r="N456" i="39"/>
  <c r="C456" i="39"/>
  <c r="B456" i="39"/>
  <c r="N454" i="39"/>
  <c r="C454" i="39"/>
  <c r="B454" i="39"/>
  <c r="N453" i="39"/>
  <c r="C453" i="39"/>
  <c r="B453" i="39"/>
  <c r="N458" i="39"/>
  <c r="C458" i="39"/>
  <c r="B458" i="39"/>
  <c r="N455" i="39"/>
  <c r="C455" i="39"/>
  <c r="B455" i="39"/>
  <c r="N445" i="39"/>
  <c r="C445" i="39"/>
  <c r="B445" i="39"/>
  <c r="N431" i="39"/>
  <c r="C431" i="39"/>
  <c r="B431" i="39"/>
  <c r="N709" i="39"/>
  <c r="C709" i="39"/>
  <c r="B709" i="39"/>
  <c r="N451" i="39"/>
  <c r="C451" i="39"/>
  <c r="B451" i="39"/>
  <c r="N466" i="39"/>
  <c r="C466" i="39"/>
  <c r="B466" i="39"/>
  <c r="N735" i="39"/>
  <c r="C735" i="39"/>
  <c r="B735" i="39"/>
  <c r="N469" i="39"/>
  <c r="C469" i="39"/>
  <c r="B469" i="39"/>
  <c r="N470" i="39"/>
  <c r="C470" i="39"/>
  <c r="B470" i="39"/>
  <c r="N468" i="39"/>
  <c r="C468" i="39"/>
  <c r="B468" i="39"/>
  <c r="N471" i="39"/>
  <c r="C471" i="39"/>
  <c r="B471" i="39"/>
  <c r="N467" i="39"/>
  <c r="C467" i="39"/>
  <c r="B467" i="39"/>
  <c r="N463" i="39"/>
  <c r="C463" i="39"/>
  <c r="B463" i="39"/>
  <c r="N483" i="39"/>
  <c r="C483" i="39"/>
  <c r="B483" i="39"/>
  <c r="N480" i="39"/>
  <c r="C480" i="39"/>
  <c r="B480" i="39"/>
  <c r="N479" i="39"/>
  <c r="C479" i="39"/>
  <c r="B479" i="39"/>
  <c r="N93" i="39"/>
  <c r="C93" i="39"/>
  <c r="B93" i="39"/>
  <c r="N482" i="39"/>
  <c r="C482" i="39"/>
  <c r="B482" i="39"/>
  <c r="N478" i="39"/>
  <c r="C478" i="39"/>
  <c r="B478" i="39"/>
  <c r="N801" i="39"/>
  <c r="C801" i="39"/>
  <c r="B801" i="39"/>
  <c r="N464" i="39"/>
  <c r="C464" i="39"/>
  <c r="B464" i="39"/>
  <c r="N441" i="39"/>
  <c r="C441" i="39"/>
  <c r="B441" i="39"/>
  <c r="N462" i="39"/>
  <c r="C462" i="39"/>
  <c r="B462" i="39"/>
  <c r="N40" i="39"/>
  <c r="C40" i="39"/>
  <c r="B40" i="39"/>
  <c r="N492" i="39"/>
  <c r="C492" i="39"/>
  <c r="B492" i="39"/>
  <c r="N493" i="39"/>
  <c r="C493" i="39"/>
  <c r="B493" i="39"/>
  <c r="N713" i="39"/>
  <c r="C713" i="39"/>
  <c r="B713" i="39"/>
  <c r="N494" i="39"/>
  <c r="C494" i="39"/>
  <c r="B494" i="39"/>
  <c r="N497" i="39"/>
  <c r="C497" i="39"/>
  <c r="B497" i="39"/>
  <c r="N498" i="39"/>
  <c r="C498" i="39"/>
  <c r="B498" i="39"/>
  <c r="N495" i="39"/>
  <c r="C495" i="39"/>
  <c r="B495" i="39"/>
  <c r="N491" i="39"/>
  <c r="C491" i="39"/>
  <c r="B491" i="39"/>
  <c r="N708" i="39"/>
  <c r="C708" i="39"/>
  <c r="B708" i="39"/>
  <c r="N34" i="39"/>
  <c r="C34" i="39"/>
  <c r="B34" i="39"/>
  <c r="N38" i="39"/>
  <c r="C38" i="39"/>
  <c r="B38" i="39"/>
  <c r="N430" i="39"/>
  <c r="C430" i="39"/>
  <c r="B430" i="39"/>
  <c r="N428" i="39"/>
  <c r="C428" i="39"/>
  <c r="B428" i="39"/>
  <c r="N360" i="39"/>
  <c r="C360" i="39"/>
  <c r="B360" i="39"/>
  <c r="N496" i="39"/>
  <c r="C496" i="39"/>
  <c r="B496" i="39"/>
  <c r="N359" i="39"/>
  <c r="C359" i="39"/>
  <c r="B359" i="39"/>
  <c r="N361" i="39"/>
  <c r="C361" i="39"/>
  <c r="B361" i="39"/>
  <c r="N362" i="39"/>
  <c r="C362" i="39"/>
  <c r="B362" i="39"/>
  <c r="N358" i="39"/>
  <c r="C358" i="39"/>
  <c r="B358" i="39"/>
  <c r="N465" i="39"/>
  <c r="C465" i="39"/>
  <c r="B465" i="39"/>
  <c r="N363" i="39"/>
  <c r="C363" i="39"/>
  <c r="B363" i="39"/>
  <c r="N42" i="39"/>
  <c r="C42" i="39"/>
  <c r="B42" i="39"/>
  <c r="N691" i="39"/>
  <c r="C691" i="39"/>
  <c r="B691" i="39"/>
  <c r="N400" i="39"/>
  <c r="C400" i="39"/>
  <c r="B400" i="39"/>
  <c r="N365" i="39"/>
  <c r="C365" i="39"/>
  <c r="B365" i="39"/>
  <c r="N364" i="39"/>
  <c r="C364" i="39"/>
  <c r="B364" i="39"/>
  <c r="N477" i="39"/>
  <c r="C477" i="39"/>
  <c r="B477" i="39"/>
  <c r="N490" i="39"/>
  <c r="C490" i="39"/>
  <c r="B490" i="39"/>
  <c r="N474" i="39"/>
  <c r="C474" i="39"/>
  <c r="B474" i="39"/>
  <c r="N489" i="39"/>
  <c r="C489" i="39"/>
  <c r="B489" i="39"/>
  <c r="N7" i="39"/>
  <c r="C7" i="39"/>
  <c r="B7" i="39"/>
  <c r="N476" i="39"/>
  <c r="C476" i="39"/>
  <c r="B476" i="39"/>
  <c r="N475" i="39"/>
  <c r="C475" i="39"/>
  <c r="B475" i="39"/>
  <c r="N710" i="39"/>
  <c r="C710" i="39"/>
  <c r="B710" i="39"/>
  <c r="N486" i="39"/>
  <c r="C486" i="39"/>
  <c r="B486" i="39"/>
  <c r="N711" i="39"/>
  <c r="C711" i="39"/>
  <c r="B711" i="39"/>
  <c r="N484" i="39"/>
  <c r="C484" i="39"/>
  <c r="B484" i="39"/>
  <c r="N401" i="39"/>
  <c r="C401" i="39"/>
  <c r="B401" i="39"/>
  <c r="N487" i="39"/>
  <c r="C487" i="39"/>
  <c r="B487" i="39"/>
  <c r="N501" i="39"/>
  <c r="C501" i="39"/>
  <c r="B501" i="39"/>
  <c r="N485" i="39"/>
  <c r="C485" i="39"/>
  <c r="B485" i="39"/>
  <c r="N502" i="39"/>
  <c r="C502" i="39"/>
  <c r="B502" i="39"/>
  <c r="N715" i="39"/>
  <c r="C715" i="39"/>
  <c r="B715" i="39"/>
  <c r="N116" i="39"/>
  <c r="C116" i="39"/>
  <c r="B116" i="39"/>
  <c r="N123" i="39"/>
  <c r="C123" i="39"/>
  <c r="B123" i="39"/>
  <c r="N505" i="39"/>
  <c r="C505" i="39"/>
  <c r="B505" i="39"/>
  <c r="N719" i="39"/>
  <c r="C719" i="39"/>
  <c r="B719" i="39"/>
  <c r="N504" i="39"/>
  <c r="C504" i="39"/>
  <c r="B504" i="39"/>
  <c r="N716" i="39"/>
  <c r="C716" i="39"/>
  <c r="B716" i="39"/>
  <c r="N718" i="39"/>
  <c r="C718" i="39"/>
  <c r="B718" i="39"/>
  <c r="N424" i="39"/>
  <c r="C424" i="39"/>
  <c r="B424" i="39"/>
  <c r="N717" i="39"/>
  <c r="C717" i="39"/>
  <c r="B717" i="39"/>
  <c r="N488" i="39"/>
  <c r="C488" i="39"/>
  <c r="B488" i="39"/>
  <c r="N510" i="39"/>
  <c r="C510" i="39"/>
  <c r="B510" i="39"/>
  <c r="N509" i="39"/>
  <c r="C509" i="39"/>
  <c r="B509" i="39"/>
  <c r="N511" i="39"/>
  <c r="C511" i="39"/>
  <c r="B511" i="39"/>
  <c r="N508" i="39"/>
  <c r="C508" i="39"/>
  <c r="B508" i="39"/>
  <c r="N514" i="39"/>
  <c r="C514" i="39"/>
  <c r="B514" i="39"/>
  <c r="N720" i="39"/>
  <c r="C720" i="39"/>
  <c r="B720" i="39"/>
  <c r="N512" i="39"/>
  <c r="C512" i="39"/>
  <c r="B512" i="39"/>
  <c r="N516" i="39"/>
  <c r="C516" i="39"/>
  <c r="B516" i="39"/>
  <c r="N517" i="39"/>
  <c r="C517" i="39"/>
  <c r="B517" i="39"/>
  <c r="N518" i="39"/>
  <c r="C518" i="39"/>
  <c r="B518" i="39"/>
  <c r="N525" i="39"/>
  <c r="C525" i="39"/>
  <c r="B525" i="39"/>
  <c r="N524" i="39"/>
  <c r="C524" i="39"/>
  <c r="B524" i="39"/>
  <c r="N521" i="39"/>
  <c r="C521" i="39"/>
  <c r="B521" i="39"/>
  <c r="N520" i="39"/>
  <c r="C520" i="39"/>
  <c r="B520" i="39"/>
  <c r="N721" i="39"/>
  <c r="C721" i="39"/>
  <c r="B721" i="39"/>
  <c r="N154" i="39"/>
  <c r="C154" i="39"/>
  <c r="B154" i="39"/>
  <c r="N526" i="39"/>
  <c r="C526" i="39"/>
  <c r="B526" i="39"/>
  <c r="N722" i="39"/>
  <c r="C722" i="39"/>
  <c r="B722" i="39"/>
  <c r="N523" i="39"/>
  <c r="C523" i="39"/>
  <c r="B523" i="39"/>
  <c r="N527" i="39"/>
  <c r="C527" i="39"/>
  <c r="B527" i="39"/>
  <c r="N515" i="39"/>
  <c r="C515" i="39"/>
  <c r="B515" i="39"/>
  <c r="N528" i="39"/>
  <c r="C528" i="39"/>
  <c r="B528" i="39"/>
  <c r="N48" i="39"/>
  <c r="C48" i="39"/>
  <c r="B48" i="39"/>
  <c r="N31" i="39"/>
  <c r="C31" i="39"/>
  <c r="B31" i="39"/>
  <c r="N530" i="39"/>
  <c r="C530" i="39"/>
  <c r="B530" i="39"/>
  <c r="N533" i="39"/>
  <c r="C533" i="39"/>
  <c r="B533" i="39"/>
  <c r="N44" i="39"/>
  <c r="C44" i="39"/>
  <c r="B44" i="39"/>
  <c r="N45" i="39"/>
  <c r="C45" i="39"/>
  <c r="B45" i="39"/>
  <c r="N537" i="39"/>
  <c r="C537" i="39"/>
  <c r="B537" i="39"/>
  <c r="N532" i="39"/>
  <c r="C532" i="39"/>
  <c r="B532" i="39"/>
  <c r="N531" i="39"/>
  <c r="C531" i="39"/>
  <c r="B531" i="39"/>
  <c r="N536" i="39"/>
  <c r="C536" i="39"/>
  <c r="B536" i="39"/>
  <c r="N535" i="39"/>
  <c r="C535" i="39"/>
  <c r="B535" i="39"/>
  <c r="N534" i="39"/>
  <c r="C534" i="39"/>
  <c r="B534" i="39"/>
  <c r="N800" i="39"/>
  <c r="C800" i="39"/>
  <c r="B800" i="39"/>
  <c r="N799" i="39"/>
  <c r="C799" i="39"/>
  <c r="B799" i="39"/>
  <c r="N798" i="39"/>
  <c r="C798" i="39"/>
  <c r="B798" i="39"/>
  <c r="N797" i="39"/>
  <c r="C797" i="39"/>
  <c r="B797" i="39"/>
  <c r="N796" i="39"/>
  <c r="C796" i="39"/>
  <c r="B796" i="39"/>
  <c r="N795" i="39"/>
  <c r="C795" i="39"/>
  <c r="B795" i="39"/>
  <c r="N794" i="39"/>
  <c r="C794" i="39"/>
  <c r="B794" i="39"/>
  <c r="N793" i="39"/>
  <c r="C793" i="39"/>
  <c r="B793" i="39"/>
  <c r="N792" i="39"/>
  <c r="C792" i="39"/>
  <c r="B792" i="39"/>
  <c r="N791" i="39"/>
  <c r="C791" i="39"/>
  <c r="B791" i="39"/>
  <c r="N790" i="39"/>
  <c r="C790" i="39"/>
  <c r="B790" i="39"/>
  <c r="N789" i="39"/>
  <c r="C789" i="39"/>
  <c r="B789" i="39"/>
  <c r="N788" i="39"/>
  <c r="C788" i="39"/>
  <c r="B788" i="39"/>
  <c r="N787" i="39"/>
  <c r="C787" i="39"/>
  <c r="B787" i="39"/>
  <c r="N786" i="39"/>
  <c r="C786" i="39"/>
  <c r="B786" i="39"/>
  <c r="N723" i="39"/>
  <c r="C723" i="39"/>
  <c r="B723" i="39"/>
  <c r="N539" i="39"/>
  <c r="C539" i="39"/>
  <c r="B539" i="39"/>
  <c r="N540" i="39"/>
  <c r="C540" i="39"/>
  <c r="B540" i="39"/>
  <c r="N53" i="39"/>
  <c r="C53" i="39"/>
  <c r="B53" i="39"/>
  <c r="N52" i="39"/>
  <c r="C52" i="39"/>
  <c r="B52" i="39"/>
  <c r="N209" i="39"/>
  <c r="C209" i="39"/>
  <c r="B209" i="39"/>
  <c r="N5" i="39"/>
  <c r="C5" i="39"/>
  <c r="B5" i="39"/>
  <c r="N724" i="39"/>
  <c r="C724" i="39"/>
  <c r="B724" i="39"/>
  <c r="N592" i="39"/>
  <c r="C592" i="39"/>
  <c r="B592" i="39"/>
  <c r="N547" i="39"/>
  <c r="C547" i="39"/>
  <c r="B547" i="39"/>
  <c r="N726" i="39"/>
  <c r="C726" i="39"/>
  <c r="B726" i="39"/>
  <c r="N545" i="39"/>
  <c r="C545" i="39"/>
  <c r="B545" i="39"/>
  <c r="N544" i="39"/>
  <c r="C544" i="39"/>
  <c r="B544" i="39"/>
  <c r="N546" i="39"/>
  <c r="C546" i="39"/>
  <c r="B546" i="39"/>
  <c r="N166" i="39"/>
  <c r="C166" i="39"/>
  <c r="B166" i="39"/>
  <c r="N46" i="39"/>
  <c r="C46" i="39"/>
  <c r="B46" i="39"/>
  <c r="N30" i="39"/>
  <c r="C30" i="39"/>
  <c r="B30" i="39"/>
  <c r="N550" i="39"/>
  <c r="C550" i="39"/>
  <c r="B550" i="39"/>
  <c r="N549" i="39"/>
  <c r="C549" i="39"/>
  <c r="B549" i="39"/>
  <c r="N100" i="39"/>
  <c r="C100" i="39"/>
  <c r="B100" i="39"/>
  <c r="N101" i="39"/>
  <c r="C101" i="39"/>
  <c r="B101" i="39"/>
  <c r="N785" i="39"/>
  <c r="C785" i="39"/>
  <c r="B785" i="39"/>
  <c r="N784" i="39"/>
  <c r="C784" i="39"/>
  <c r="B784" i="39"/>
  <c r="N783" i="39"/>
  <c r="C783" i="39"/>
  <c r="B783" i="39"/>
  <c r="N552" i="39"/>
  <c r="C552" i="39"/>
  <c r="B552" i="39"/>
  <c r="N548" i="39"/>
  <c r="C548" i="39"/>
  <c r="B548" i="39"/>
  <c r="N581" i="39"/>
  <c r="C581" i="39"/>
  <c r="B581" i="39"/>
  <c r="N513" i="39"/>
  <c r="C513" i="39"/>
  <c r="B513" i="39"/>
  <c r="N551" i="39"/>
  <c r="C551" i="39"/>
  <c r="B551" i="39"/>
  <c r="N553" i="39"/>
  <c r="C553" i="39"/>
  <c r="B553" i="39"/>
  <c r="N727" i="39"/>
  <c r="C727" i="39"/>
  <c r="B727" i="39"/>
  <c r="N198" i="39"/>
  <c r="C198" i="39"/>
  <c r="B198" i="39"/>
  <c r="N199" i="39"/>
  <c r="C199" i="39"/>
  <c r="B199" i="39"/>
  <c r="N538" i="39"/>
  <c r="C538" i="39"/>
  <c r="B538" i="39"/>
  <c r="N554" i="39"/>
  <c r="C554" i="39"/>
  <c r="B554" i="39"/>
  <c r="N712" i="39"/>
  <c r="C712" i="39"/>
  <c r="B712" i="39"/>
  <c r="N555" i="39"/>
  <c r="C555" i="39"/>
  <c r="B555" i="39"/>
  <c r="N557" i="39"/>
  <c r="C557" i="39"/>
  <c r="B557" i="39"/>
  <c r="N556" i="39"/>
  <c r="C556" i="39"/>
  <c r="B556" i="39"/>
  <c r="N634" i="39"/>
  <c r="C634" i="39"/>
  <c r="B634" i="39"/>
  <c r="N782" i="39"/>
  <c r="C782" i="39"/>
  <c r="B782" i="39"/>
  <c r="N559" i="39"/>
  <c r="C559" i="39"/>
  <c r="B559" i="39"/>
  <c r="N96" i="39"/>
  <c r="C96" i="39"/>
  <c r="B96" i="39"/>
  <c r="N98" i="39"/>
  <c r="C98" i="39"/>
  <c r="B98" i="39"/>
  <c r="N728" i="39"/>
  <c r="C728" i="39"/>
  <c r="B728" i="39"/>
  <c r="N558" i="39"/>
  <c r="C558" i="39"/>
  <c r="B558" i="39"/>
  <c r="N99" i="39"/>
  <c r="C99" i="39"/>
  <c r="B99" i="39"/>
  <c r="N196" i="39"/>
  <c r="C196" i="39"/>
  <c r="B196" i="39"/>
  <c r="N522" i="39"/>
  <c r="C522" i="39"/>
  <c r="B522" i="39"/>
  <c r="N562" i="39"/>
  <c r="C562" i="39"/>
  <c r="B562" i="39"/>
  <c r="N132" i="39"/>
  <c r="C132" i="39"/>
  <c r="B132" i="39"/>
  <c r="N131" i="39"/>
  <c r="C131" i="39"/>
  <c r="B131" i="39"/>
  <c r="N564" i="39"/>
  <c r="C564" i="39"/>
  <c r="B564" i="39"/>
  <c r="N561" i="39"/>
  <c r="C561" i="39"/>
  <c r="B561" i="39"/>
  <c r="N781" i="39"/>
  <c r="C781" i="39"/>
  <c r="B781" i="39"/>
  <c r="N43" i="39"/>
  <c r="C43" i="39"/>
  <c r="B43" i="39"/>
  <c r="N529" i="39"/>
  <c r="C529" i="39"/>
  <c r="B529" i="39"/>
  <c r="N97" i="39"/>
  <c r="C97" i="39"/>
  <c r="B97" i="39"/>
  <c r="N566" i="39"/>
  <c r="C566" i="39"/>
  <c r="B566" i="39"/>
  <c r="N780" i="39"/>
  <c r="C780" i="39"/>
  <c r="B780" i="39"/>
  <c r="N125" i="39"/>
  <c r="C125" i="39"/>
  <c r="B125" i="39"/>
  <c r="N102" i="39"/>
  <c r="C102" i="39"/>
  <c r="B102" i="39"/>
  <c r="N153" i="39"/>
  <c r="C153" i="39"/>
  <c r="B153" i="39"/>
  <c r="N563" i="39"/>
  <c r="C563" i="39"/>
  <c r="B563" i="39"/>
  <c r="N569" i="39"/>
  <c r="C569" i="39"/>
  <c r="B569" i="39"/>
  <c r="N151" i="39"/>
  <c r="C151" i="39"/>
  <c r="B151" i="39"/>
  <c r="N568" i="39"/>
  <c r="C568" i="39"/>
  <c r="B568" i="39"/>
  <c r="N177" i="39"/>
  <c r="C177" i="39"/>
  <c r="B177" i="39"/>
  <c r="N565" i="39"/>
  <c r="C565" i="39"/>
  <c r="B565" i="39"/>
  <c r="N570" i="39"/>
  <c r="C570" i="39"/>
  <c r="B570" i="39"/>
  <c r="N635" i="39"/>
  <c r="C635" i="39"/>
  <c r="B635" i="39"/>
  <c r="N779" i="39"/>
  <c r="C779" i="39"/>
  <c r="B779" i="39"/>
  <c r="N233" i="39"/>
  <c r="C233" i="39"/>
  <c r="B233" i="39"/>
  <c r="N232" i="39"/>
  <c r="C232" i="39"/>
  <c r="B232" i="39"/>
  <c r="N152" i="39"/>
  <c r="C152" i="39"/>
  <c r="B152" i="39"/>
  <c r="N54" i="39"/>
  <c r="C54" i="39"/>
  <c r="B54" i="39"/>
  <c r="N571" i="39"/>
  <c r="C571" i="39"/>
  <c r="B571" i="39"/>
  <c r="N267" i="39"/>
  <c r="C267" i="39"/>
  <c r="B267" i="39"/>
  <c r="N129" i="39"/>
  <c r="C129" i="39"/>
  <c r="B129" i="39"/>
  <c r="N130" i="39"/>
  <c r="C130" i="39"/>
  <c r="B130" i="39"/>
  <c r="N572" i="39"/>
  <c r="C572" i="39"/>
  <c r="B572" i="39"/>
  <c r="N299" i="39"/>
  <c r="C299" i="39"/>
  <c r="B299" i="39"/>
  <c r="N55" i="39"/>
  <c r="C55" i="39"/>
  <c r="B55" i="39"/>
  <c r="N234" i="39"/>
  <c r="C234" i="39"/>
  <c r="B234" i="39"/>
  <c r="N256" i="39"/>
  <c r="C256" i="39"/>
  <c r="B256" i="39"/>
  <c r="N573" i="39"/>
  <c r="C573" i="39"/>
  <c r="B573" i="39"/>
  <c r="N222" i="39"/>
  <c r="C222" i="39"/>
  <c r="B222" i="39"/>
  <c r="N221" i="39"/>
  <c r="C221" i="39"/>
  <c r="B221" i="39"/>
  <c r="N223" i="39"/>
  <c r="C223" i="39"/>
  <c r="B223" i="39"/>
  <c r="N248" i="39"/>
  <c r="C248" i="39"/>
  <c r="B248" i="39"/>
  <c r="N249" i="39"/>
  <c r="C249" i="39"/>
  <c r="B249" i="39"/>
  <c r="N66" i="39"/>
  <c r="C66" i="39"/>
  <c r="B66" i="39"/>
  <c r="N574" i="39"/>
  <c r="C574" i="39"/>
  <c r="B574" i="39"/>
  <c r="N220" i="39"/>
  <c r="C220" i="39"/>
  <c r="B220" i="39"/>
  <c r="N203" i="39"/>
  <c r="C203" i="39"/>
  <c r="B203" i="39"/>
  <c r="N47" i="39"/>
  <c r="C47" i="39"/>
  <c r="B47" i="39"/>
  <c r="N63" i="39"/>
  <c r="C63" i="39"/>
  <c r="B63" i="39"/>
  <c r="N575" i="39"/>
  <c r="C575" i="39"/>
  <c r="B575" i="39"/>
  <c r="N778" i="39"/>
  <c r="C778" i="39"/>
  <c r="B778" i="39"/>
  <c r="N777" i="39"/>
  <c r="C777" i="39"/>
  <c r="B777" i="39"/>
  <c r="N576" i="39"/>
  <c r="C576" i="39"/>
  <c r="B576" i="39"/>
  <c r="N259" i="39"/>
  <c r="C259" i="39"/>
  <c r="B259" i="39"/>
  <c r="N258" i="39"/>
  <c r="C258" i="39"/>
  <c r="B258" i="39"/>
  <c r="N251" i="39"/>
  <c r="C251" i="39"/>
  <c r="B251" i="39"/>
  <c r="N157" i="39"/>
  <c r="C157" i="39"/>
  <c r="B157" i="39"/>
  <c r="N776" i="39"/>
  <c r="C776" i="39"/>
  <c r="B776" i="39"/>
  <c r="N250" i="39"/>
  <c r="C250" i="39"/>
  <c r="B250" i="39"/>
  <c r="N155" i="39"/>
  <c r="C155" i="39"/>
  <c r="B155" i="39"/>
  <c r="N657" i="39"/>
  <c r="C657" i="39"/>
  <c r="B657" i="39"/>
  <c r="N519" i="39"/>
  <c r="C519" i="39"/>
  <c r="B519" i="39"/>
  <c r="N583" i="39"/>
  <c r="C583" i="39"/>
  <c r="B583" i="39"/>
  <c r="N204" i="39"/>
  <c r="C204" i="39"/>
  <c r="B204" i="39"/>
  <c r="N668" i="39"/>
  <c r="C668" i="39"/>
  <c r="B668" i="39"/>
  <c r="N729" i="39"/>
  <c r="C729" i="39"/>
  <c r="B729" i="39"/>
  <c r="N730" i="39"/>
  <c r="C730" i="39"/>
  <c r="B730" i="39"/>
  <c r="N664" i="39"/>
  <c r="C664" i="39"/>
  <c r="B664" i="39"/>
  <c r="N300" i="39"/>
  <c r="C300" i="39"/>
  <c r="B300" i="39"/>
  <c r="N584" i="39"/>
  <c r="C584" i="39"/>
  <c r="B584" i="39"/>
  <c r="N560" i="39"/>
  <c r="C560" i="39"/>
  <c r="B560" i="39"/>
  <c r="N662" i="39"/>
  <c r="C662" i="39"/>
  <c r="B662" i="39"/>
  <c r="N663" i="39"/>
  <c r="C663" i="39"/>
  <c r="B663" i="39"/>
  <c r="N661" i="39"/>
  <c r="C661" i="39"/>
  <c r="B661" i="39"/>
  <c r="N276" i="39"/>
  <c r="C276" i="39"/>
  <c r="B276" i="39"/>
  <c r="N275" i="39"/>
  <c r="C275" i="39"/>
  <c r="B275" i="39"/>
  <c r="N274" i="39"/>
  <c r="C274" i="39"/>
  <c r="B274" i="39"/>
  <c r="N278" i="39"/>
  <c r="C278" i="39"/>
  <c r="B278" i="39"/>
  <c r="N277" i="39"/>
  <c r="C277" i="39"/>
  <c r="B277" i="39"/>
  <c r="N585" i="39"/>
  <c r="C585" i="39"/>
  <c r="B585" i="39"/>
  <c r="N56" i="39"/>
  <c r="C56" i="39"/>
  <c r="B56" i="39"/>
  <c r="N731" i="39"/>
  <c r="C731" i="39"/>
  <c r="B731" i="39"/>
  <c r="N667" i="39"/>
  <c r="C667" i="39"/>
  <c r="B667" i="39"/>
  <c r="N674" i="39"/>
  <c r="C674" i="39"/>
  <c r="B674" i="39"/>
  <c r="N243" i="39"/>
  <c r="C243" i="39"/>
  <c r="B243" i="39"/>
  <c r="N665" i="39"/>
  <c r="C665" i="39"/>
  <c r="B665" i="39"/>
  <c r="N587" i="39"/>
  <c r="C587" i="39"/>
  <c r="B587" i="39"/>
  <c r="N301" i="39"/>
  <c r="C301" i="39"/>
  <c r="B301" i="39"/>
  <c r="N648" i="39"/>
  <c r="C648" i="39"/>
  <c r="B648" i="39"/>
  <c r="N588" i="39"/>
  <c r="C588" i="39"/>
  <c r="B588" i="39"/>
  <c r="N235" i="39"/>
  <c r="C235" i="39"/>
  <c r="B235" i="39"/>
  <c r="N57" i="39"/>
  <c r="C57" i="39"/>
  <c r="B57" i="39"/>
  <c r="N591" i="39"/>
  <c r="C591" i="39"/>
  <c r="B591" i="39"/>
  <c r="N775" i="39"/>
  <c r="C775" i="39"/>
  <c r="B775" i="39"/>
  <c r="N774" i="39"/>
  <c r="C774" i="39"/>
  <c r="B774" i="39"/>
  <c r="N773" i="39"/>
  <c r="C773" i="39"/>
  <c r="B773" i="39"/>
  <c r="N772" i="39"/>
  <c r="C772" i="39"/>
  <c r="B772" i="39"/>
  <c r="N590" i="39"/>
  <c r="C590" i="39"/>
  <c r="B590" i="39"/>
  <c r="N771" i="39"/>
  <c r="C771" i="39"/>
  <c r="B771" i="39"/>
  <c r="N770" i="39"/>
  <c r="C770" i="39"/>
  <c r="B770" i="39"/>
  <c r="N339" i="39"/>
  <c r="C339" i="39"/>
  <c r="B339" i="39"/>
  <c r="N666" i="39"/>
  <c r="C666" i="39"/>
  <c r="B666" i="39"/>
  <c r="N197" i="39"/>
  <c r="C197" i="39"/>
  <c r="B197" i="39"/>
  <c r="N589" i="39"/>
  <c r="C589" i="39"/>
  <c r="B589" i="39"/>
  <c r="N676" i="39"/>
  <c r="C676" i="39"/>
  <c r="B676" i="39"/>
  <c r="N678" i="39"/>
  <c r="C678" i="39"/>
  <c r="B678" i="39"/>
  <c r="N677" i="39"/>
  <c r="C677" i="39"/>
  <c r="B677" i="39"/>
  <c r="N679" i="39"/>
  <c r="C679" i="39"/>
  <c r="B679" i="39"/>
  <c r="N593" i="39"/>
  <c r="C593" i="39"/>
  <c r="B593" i="39"/>
  <c r="N352" i="39"/>
  <c r="C352" i="39"/>
  <c r="B352" i="39"/>
  <c r="N567" i="39"/>
  <c r="C567" i="39"/>
  <c r="B567" i="39"/>
  <c r="N390" i="39"/>
  <c r="C390" i="39"/>
  <c r="B390" i="39"/>
  <c r="N594" i="39"/>
  <c r="C594" i="39"/>
  <c r="B594" i="39"/>
  <c r="N769" i="39"/>
  <c r="C769" i="39"/>
  <c r="B769" i="39"/>
  <c r="N768" i="39"/>
  <c r="C768" i="39"/>
  <c r="B768" i="39"/>
  <c r="N595" i="39"/>
  <c r="C595" i="39"/>
  <c r="B595" i="39"/>
  <c r="N767" i="39"/>
  <c r="C767" i="39"/>
  <c r="B767" i="39"/>
  <c r="N766" i="39"/>
  <c r="C766" i="39"/>
  <c r="B766" i="39"/>
  <c r="N596" i="39"/>
  <c r="C596" i="39"/>
  <c r="B596" i="39"/>
  <c r="N338" i="39"/>
  <c r="C338" i="39"/>
  <c r="B338" i="39"/>
  <c r="N340" i="39"/>
  <c r="C340" i="39"/>
  <c r="B340" i="39"/>
  <c r="N384" i="39"/>
  <c r="C384" i="39"/>
  <c r="B384" i="39"/>
  <c r="N586" i="39"/>
  <c r="C586" i="39"/>
  <c r="B586" i="39"/>
  <c r="N320" i="39"/>
  <c r="C320" i="39"/>
  <c r="B320" i="39"/>
  <c r="N322" i="39"/>
  <c r="C322" i="39"/>
  <c r="B322" i="39"/>
  <c r="N321" i="39"/>
  <c r="C321" i="39"/>
  <c r="B321" i="39"/>
  <c r="N597" i="39"/>
  <c r="C597" i="39"/>
  <c r="B597" i="39"/>
  <c r="N342" i="39"/>
  <c r="C342" i="39"/>
  <c r="B342" i="39"/>
  <c r="N598" i="39"/>
  <c r="C598" i="39"/>
  <c r="B598" i="39"/>
  <c r="N391" i="39"/>
  <c r="C391" i="39"/>
  <c r="B391" i="39"/>
  <c r="N392" i="39"/>
  <c r="C392" i="39"/>
  <c r="B392" i="39"/>
  <c r="N60" i="39"/>
  <c r="C60" i="39"/>
  <c r="B60" i="39"/>
  <c r="N61" i="39"/>
  <c r="C61" i="39"/>
  <c r="B61" i="39"/>
  <c r="N341" i="39"/>
  <c r="C341" i="39"/>
  <c r="B341" i="39"/>
  <c r="N599" i="39"/>
  <c r="C599" i="39"/>
  <c r="B599" i="39"/>
  <c r="N59" i="39"/>
  <c r="C59" i="39"/>
  <c r="B59" i="39"/>
  <c r="N58" i="39"/>
  <c r="C58" i="39"/>
  <c r="B58" i="39"/>
  <c r="N62" i="39"/>
  <c r="C62" i="39"/>
  <c r="B62" i="39"/>
  <c r="N582" i="39"/>
  <c r="C582" i="39"/>
  <c r="B582" i="39"/>
  <c r="N50" i="39"/>
  <c r="C50" i="39"/>
  <c r="B50" i="39"/>
  <c r="N49" i="39"/>
  <c r="C49" i="39"/>
  <c r="B49" i="39"/>
  <c r="N389" i="39"/>
  <c r="C389" i="39"/>
  <c r="B389" i="39"/>
  <c r="N369" i="39"/>
  <c r="C369" i="39"/>
  <c r="B369" i="39"/>
  <c r="N64" i="39"/>
  <c r="C64" i="39"/>
  <c r="B64" i="39"/>
  <c r="N65" i="39"/>
  <c r="C65" i="39"/>
  <c r="B65" i="39"/>
  <c r="N366" i="39"/>
  <c r="C366" i="39"/>
  <c r="B366" i="39"/>
  <c r="N687" i="39"/>
  <c r="C687" i="39"/>
  <c r="B687" i="39"/>
  <c r="N230" i="39"/>
  <c r="C230" i="39"/>
  <c r="B230" i="39"/>
  <c r="N396" i="39"/>
  <c r="C396" i="39"/>
  <c r="B396" i="39"/>
  <c r="N395" i="39"/>
  <c r="C395" i="39"/>
  <c r="B395" i="39"/>
  <c r="N411" i="39"/>
  <c r="C411" i="39"/>
  <c r="B411" i="39"/>
  <c r="N368" i="39"/>
  <c r="C368" i="39"/>
  <c r="B368" i="39"/>
  <c r="N407" i="39"/>
  <c r="C407" i="39"/>
  <c r="B407" i="39"/>
  <c r="N383" i="39"/>
  <c r="C383" i="39"/>
  <c r="B383" i="39"/>
  <c r="N386" i="39"/>
  <c r="C386" i="39"/>
  <c r="B386" i="39"/>
  <c r="N387" i="39"/>
  <c r="C387" i="39"/>
  <c r="B387" i="39"/>
  <c r="N613" i="39"/>
  <c r="C613" i="39"/>
  <c r="B613" i="39"/>
  <c r="N269" i="39"/>
  <c r="C269" i="39"/>
  <c r="B269" i="39"/>
  <c r="N382" i="39"/>
  <c r="C382" i="39"/>
  <c r="B382" i="39"/>
  <c r="N353" i="39"/>
  <c r="C353" i="39"/>
  <c r="B353" i="39"/>
  <c r="N416" i="39"/>
  <c r="C416" i="39"/>
  <c r="B416" i="39"/>
  <c r="N348" i="39"/>
  <c r="C348" i="39"/>
  <c r="B348" i="39"/>
  <c r="N388" i="39"/>
  <c r="C388" i="39"/>
  <c r="B388" i="39"/>
  <c r="N202" i="39"/>
  <c r="C202" i="39"/>
  <c r="B202" i="39"/>
  <c r="N317" i="39"/>
  <c r="C317" i="39"/>
  <c r="B317" i="39"/>
  <c r="N316" i="39"/>
  <c r="C316" i="39"/>
  <c r="B316" i="39"/>
  <c r="N414" i="39"/>
  <c r="C414" i="39"/>
  <c r="B414" i="39"/>
  <c r="N415" i="39"/>
  <c r="C415" i="39"/>
  <c r="B415" i="39"/>
  <c r="N602" i="39"/>
  <c r="C602" i="39"/>
  <c r="B602" i="39"/>
  <c r="N725" i="39"/>
  <c r="C725" i="39"/>
  <c r="B725" i="39"/>
  <c r="N607" i="39"/>
  <c r="C607" i="39"/>
  <c r="B607" i="39"/>
  <c r="N765" i="39"/>
  <c r="C765" i="39"/>
  <c r="B765" i="39"/>
  <c r="N764" i="39"/>
  <c r="C764" i="39"/>
  <c r="B764" i="39"/>
  <c r="N67" i="39"/>
  <c r="C67" i="39"/>
  <c r="B67" i="39"/>
  <c r="N763" i="39"/>
  <c r="C763" i="39"/>
  <c r="B763" i="39"/>
  <c r="N210" i="39"/>
  <c r="C210" i="39"/>
  <c r="B210" i="39"/>
  <c r="N762" i="39"/>
  <c r="C762" i="39"/>
  <c r="B762" i="39"/>
  <c r="N761" i="39"/>
  <c r="C761" i="39"/>
  <c r="B761" i="39"/>
  <c r="N732" i="39"/>
  <c r="C732" i="39"/>
  <c r="B732" i="39"/>
  <c r="N760" i="39"/>
  <c r="C760" i="39"/>
  <c r="B760" i="39"/>
  <c r="N759" i="39"/>
  <c r="C759" i="39"/>
  <c r="B759" i="39"/>
  <c r="N758" i="39"/>
  <c r="C758" i="39"/>
  <c r="B758" i="39"/>
  <c r="N757" i="39"/>
  <c r="C757" i="39"/>
  <c r="B757" i="39"/>
  <c r="N756" i="39"/>
  <c r="C756" i="39"/>
  <c r="B756" i="39"/>
  <c r="N755" i="39"/>
  <c r="C755" i="39"/>
  <c r="B755" i="39"/>
  <c r="N600" i="39"/>
  <c r="C600" i="39"/>
  <c r="B600" i="39"/>
  <c r="N601" i="39"/>
  <c r="C601" i="39"/>
  <c r="B601" i="39"/>
  <c r="N754" i="39"/>
  <c r="C754" i="39"/>
  <c r="B754" i="39"/>
  <c r="N580" i="39"/>
  <c r="C580" i="39"/>
  <c r="B580" i="39"/>
  <c r="N753" i="39"/>
  <c r="C753" i="39"/>
  <c r="B753" i="39"/>
  <c r="N752" i="39"/>
  <c r="C752" i="39"/>
  <c r="B752" i="39"/>
  <c r="N751" i="39"/>
  <c r="C751" i="39"/>
  <c r="B751" i="39"/>
  <c r="N750" i="39"/>
  <c r="C750" i="39"/>
  <c r="B750" i="39"/>
  <c r="N749" i="39"/>
  <c r="C749" i="39"/>
  <c r="B749" i="39"/>
  <c r="N748" i="39"/>
  <c r="C748" i="39"/>
  <c r="B748" i="39"/>
  <c r="N610" i="39"/>
  <c r="C610" i="39"/>
  <c r="B610" i="39"/>
  <c r="N747" i="39"/>
  <c r="C747" i="39"/>
  <c r="B747" i="39"/>
  <c r="N618" i="39"/>
  <c r="C618" i="39"/>
  <c r="B618" i="39"/>
  <c r="N746" i="39"/>
  <c r="C746" i="39"/>
  <c r="B746" i="39"/>
  <c r="N603" i="39"/>
  <c r="C603" i="39"/>
  <c r="B603" i="39"/>
  <c r="N733" i="39"/>
  <c r="C733" i="39"/>
  <c r="B733" i="39"/>
  <c r="N745" i="39"/>
  <c r="C745" i="39"/>
  <c r="B745" i="39"/>
  <c r="N127" i="39"/>
  <c r="C127" i="39"/>
  <c r="B127" i="39"/>
  <c r="N126" i="39"/>
  <c r="C126" i="39"/>
  <c r="B126" i="39"/>
  <c r="N744" i="39"/>
  <c r="C744" i="39"/>
  <c r="B744" i="39"/>
  <c r="N743" i="39"/>
  <c r="C743" i="39"/>
  <c r="B743" i="39"/>
  <c r="N742" i="39"/>
  <c r="C742" i="39"/>
  <c r="B742" i="39"/>
  <c r="N741" i="39"/>
  <c r="C741" i="39"/>
  <c r="B741" i="39"/>
  <c r="N68" i="39"/>
  <c r="C68" i="39"/>
  <c r="B68" i="39"/>
  <c r="N178" i="39"/>
  <c r="C178" i="39"/>
  <c r="B178" i="39"/>
  <c r="N181" i="39"/>
  <c r="C181" i="39"/>
  <c r="B181" i="39"/>
  <c r="N182" i="39"/>
  <c r="C182" i="39"/>
  <c r="B182" i="39"/>
  <c r="N180" i="39"/>
  <c r="C180" i="39"/>
  <c r="B180" i="39"/>
  <c r="N606" i="39"/>
  <c r="C606" i="39"/>
  <c r="B606" i="39"/>
  <c r="N605" i="39"/>
  <c r="C605" i="39"/>
  <c r="B605" i="39"/>
  <c r="N76" i="39"/>
  <c r="C76" i="39"/>
  <c r="B76" i="39"/>
  <c r="N503" i="39"/>
  <c r="C503" i="39"/>
  <c r="B503" i="39"/>
  <c r="N224" i="39"/>
  <c r="C224" i="39"/>
  <c r="B224" i="39"/>
  <c r="N714" i="39"/>
  <c r="C714" i="39"/>
  <c r="B714" i="39"/>
  <c r="N506" i="39"/>
  <c r="C506" i="39"/>
  <c r="B506" i="39"/>
  <c r="N138" i="39"/>
  <c r="C138" i="39"/>
  <c r="B138" i="39"/>
  <c r="N139" i="39"/>
  <c r="C139" i="39"/>
  <c r="B139" i="39"/>
  <c r="N461" i="39"/>
  <c r="C461" i="39"/>
  <c r="B461" i="39"/>
  <c r="N481" i="39"/>
  <c r="C481" i="39"/>
  <c r="B481" i="39"/>
  <c r="N608" i="39"/>
  <c r="C608" i="39"/>
  <c r="B608" i="39"/>
  <c r="N75" i="39"/>
  <c r="C75" i="39"/>
  <c r="B75" i="39"/>
  <c r="N74" i="39"/>
  <c r="C74" i="39"/>
  <c r="B74" i="39"/>
  <c r="N104" i="39"/>
  <c r="C104" i="39"/>
  <c r="B104" i="39"/>
  <c r="N604" i="39"/>
  <c r="C604" i="39"/>
  <c r="B604" i="39"/>
  <c r="N70" i="39"/>
  <c r="C70" i="39"/>
  <c r="B70" i="39"/>
  <c r="N69" i="39"/>
  <c r="C69" i="39"/>
  <c r="B69" i="39"/>
  <c r="N507" i="39"/>
  <c r="C507" i="39"/>
  <c r="B507" i="39"/>
  <c r="N72" i="39"/>
  <c r="C72" i="39"/>
  <c r="B72" i="39"/>
  <c r="N71" i="39"/>
  <c r="C71" i="39"/>
  <c r="B71" i="39"/>
  <c r="N73" i="39"/>
  <c r="C73" i="39"/>
  <c r="B73" i="39"/>
  <c r="N472" i="39"/>
  <c r="C472" i="39"/>
  <c r="B472" i="39"/>
  <c r="N542" i="39"/>
  <c r="C542" i="39"/>
  <c r="B542" i="39"/>
  <c r="N541" i="39"/>
  <c r="C541" i="39"/>
  <c r="B541" i="39"/>
  <c r="N543" i="39"/>
  <c r="C543" i="39"/>
  <c r="B543" i="39"/>
  <c r="N459" i="39"/>
  <c r="C459" i="39"/>
  <c r="B459" i="39"/>
  <c r="N460" i="39"/>
  <c r="C460" i="39"/>
  <c r="B460" i="39"/>
  <c r="N219" i="39"/>
  <c r="C219" i="39"/>
  <c r="B219" i="39"/>
  <c r="N473" i="39"/>
  <c r="C473" i="39"/>
  <c r="B473" i="39"/>
  <c r="N80" i="39"/>
  <c r="C80" i="39"/>
  <c r="B80" i="39"/>
  <c r="N79" i="39"/>
  <c r="C79" i="39"/>
  <c r="B79" i="39"/>
  <c r="N690" i="39"/>
  <c r="C690" i="39"/>
  <c r="B690" i="39"/>
  <c r="N579" i="39"/>
  <c r="C579" i="39"/>
  <c r="B579" i="39"/>
  <c r="N577" i="39"/>
  <c r="C577" i="39"/>
  <c r="B577" i="39"/>
  <c r="N578" i="39"/>
  <c r="C578" i="39"/>
  <c r="B578" i="39"/>
  <c r="N448" i="39"/>
  <c r="C448" i="39"/>
  <c r="B448" i="39"/>
  <c r="N77" i="39"/>
  <c r="C77" i="39"/>
  <c r="B77" i="39"/>
  <c r="N78" i="39"/>
  <c r="C78" i="39"/>
  <c r="B78" i="39"/>
  <c r="N242" i="39"/>
  <c r="C242" i="39"/>
  <c r="B242" i="39"/>
  <c r="N651" i="39"/>
  <c r="C651" i="39"/>
  <c r="B651" i="39"/>
  <c r="N650" i="39"/>
  <c r="C650" i="39"/>
  <c r="B650" i="39"/>
  <c r="N83" i="39"/>
  <c r="C83" i="39"/>
  <c r="B83" i="39"/>
  <c r="N81" i="39"/>
  <c r="C81" i="39"/>
  <c r="B81" i="39"/>
  <c r="N82" i="39"/>
  <c r="C82" i="39"/>
  <c r="B82" i="39"/>
  <c r="N499" i="39"/>
  <c r="C499" i="39"/>
  <c r="B499" i="39"/>
  <c r="N500" i="39"/>
  <c r="C500" i="39"/>
  <c r="B500" i="39"/>
  <c r="N612" i="39"/>
  <c r="C612" i="39"/>
  <c r="B612" i="39"/>
  <c r="N611" i="39"/>
  <c r="C611" i="39"/>
  <c r="B611" i="39"/>
  <c r="N617" i="39"/>
  <c r="C617" i="39"/>
  <c r="B617" i="39"/>
  <c r="N616" i="39"/>
  <c r="C616" i="39"/>
  <c r="B616" i="39"/>
  <c r="N211" i="39"/>
  <c r="C211" i="39"/>
  <c r="B211" i="39"/>
  <c r="N399" i="39"/>
  <c r="C399" i="39"/>
  <c r="B399" i="39"/>
  <c r="N84" i="39"/>
  <c r="C84" i="39"/>
  <c r="B84" i="39"/>
  <c r="N176" i="39"/>
  <c r="C176" i="39"/>
  <c r="B176" i="39"/>
  <c r="N736" i="39"/>
  <c r="C736" i="39"/>
  <c r="B736" i="39"/>
  <c r="N740" i="39"/>
  <c r="C740" i="39"/>
  <c r="B740" i="39"/>
  <c r="N623" i="39"/>
  <c r="C623" i="39"/>
  <c r="B623" i="39"/>
  <c r="N622" i="39"/>
  <c r="C622" i="39"/>
  <c r="B622" i="39"/>
  <c r="N621" i="39"/>
  <c r="C621" i="39"/>
  <c r="B621" i="39"/>
  <c r="N620" i="39"/>
  <c r="C620" i="39"/>
  <c r="B620" i="39"/>
  <c r="N619" i="39"/>
  <c r="C619" i="39"/>
  <c r="B619" i="39"/>
  <c r="N105" i="39"/>
  <c r="C105" i="39"/>
  <c r="B105" i="39"/>
  <c r="N367" i="39"/>
  <c r="C367" i="39"/>
  <c r="B367" i="39"/>
  <c r="N624" i="39"/>
  <c r="C624" i="39"/>
  <c r="B624" i="39"/>
  <c r="N615" i="39"/>
  <c r="C615" i="39"/>
  <c r="B615" i="39"/>
  <c r="N614" i="39"/>
  <c r="C614" i="39"/>
  <c r="B614" i="39"/>
  <c r="N319" i="39"/>
  <c r="C319" i="39"/>
  <c r="B319" i="39"/>
  <c r="N318" i="39"/>
  <c r="C318" i="39"/>
  <c r="B318" i="39"/>
  <c r="N625" i="39"/>
  <c r="C625" i="39"/>
  <c r="B625" i="39"/>
  <c r="N652" i="39"/>
  <c r="C652" i="39"/>
  <c r="B652" i="39"/>
  <c r="N647" i="39"/>
  <c r="C647" i="39"/>
  <c r="B647" i="39"/>
  <c r="N609" i="39"/>
  <c r="C609" i="39"/>
  <c r="B609" i="39"/>
  <c r="N85" i="39"/>
  <c r="C85" i="39"/>
  <c r="B85" i="39"/>
  <c r="N86" i="39"/>
  <c r="C86" i="39"/>
  <c r="B86" i="39"/>
  <c r="N627" i="39"/>
  <c r="C627" i="39"/>
  <c r="B627" i="39"/>
  <c r="N8" i="39"/>
  <c r="C8" i="39"/>
  <c r="B8" i="39"/>
  <c r="N214" i="39"/>
  <c r="C214" i="39"/>
  <c r="B214" i="39"/>
  <c r="N739" i="39"/>
  <c r="C739" i="39"/>
  <c r="B739" i="39"/>
  <c r="N738" i="39"/>
  <c r="C738" i="39"/>
  <c r="B738" i="39"/>
  <c r="N107" i="39"/>
  <c r="C107" i="39"/>
  <c r="B107" i="39"/>
  <c r="N103" i="39"/>
  <c r="C103" i="39"/>
  <c r="B103" i="39"/>
  <c r="N87" i="39"/>
  <c r="C87" i="39"/>
  <c r="B87" i="39"/>
  <c r="N106" i="39"/>
  <c r="C106" i="39"/>
  <c r="B106" i="39"/>
  <c r="N88" i="39"/>
  <c r="C88" i="39"/>
  <c r="B88" i="39"/>
  <c r="N11" i="39"/>
  <c r="C11" i="39"/>
  <c r="B11" i="39"/>
  <c r="N628" i="39"/>
  <c r="C628" i="39"/>
  <c r="B628" i="39"/>
  <c r="N626" i="39"/>
  <c r="C626" i="39"/>
  <c r="B626" i="39"/>
  <c r="N737" i="39"/>
  <c r="C737" i="39"/>
  <c r="B737" i="39"/>
  <c r="N12" i="39"/>
  <c r="C12" i="39"/>
  <c r="B12" i="39"/>
  <c r="N90" i="39"/>
  <c r="C90" i="39"/>
  <c r="B90" i="39"/>
  <c r="N51" i="39"/>
  <c r="C51" i="39"/>
  <c r="B51" i="39"/>
  <c r="N89" i="39"/>
  <c r="C89" i="39"/>
  <c r="B89" i="39"/>
  <c r="B24" i="4"/>
  <c r="B25" i="4"/>
  <c r="B26" i="4"/>
  <c r="B27" i="4"/>
  <c r="B28" i="4"/>
  <c r="B29" i="4"/>
  <c r="B30" i="4"/>
  <c r="B31" i="4"/>
  <c r="B32" i="4"/>
  <c r="B33" i="4"/>
  <c r="B34" i="4"/>
  <c r="B35" i="4"/>
  <c r="B36" i="4"/>
  <c r="B37" i="4"/>
  <c r="B38" i="4"/>
  <c r="K6" i="31"/>
  <c r="K6" i="30"/>
  <c r="J1909" i="7"/>
  <c r="H1909" i="7"/>
  <c r="H25" i="6"/>
  <c r="D389" i="38"/>
  <c r="D386" i="38"/>
  <c r="D388" i="38"/>
  <c r="C386" i="38"/>
  <c r="I372" i="38"/>
  <c r="E372" i="38"/>
  <c r="D372" i="38"/>
  <c r="I356" i="38"/>
  <c r="E356" i="38"/>
  <c r="D356" i="38"/>
  <c r="D310" i="38"/>
  <c r="I344" i="38"/>
  <c r="E344" i="38"/>
  <c r="D344" i="38"/>
  <c r="I329" i="38"/>
  <c r="E329" i="38"/>
  <c r="D329" i="38"/>
  <c r="I319" i="38"/>
  <c r="I310" i="38"/>
  <c r="E319" i="38"/>
  <c r="D319" i="38"/>
  <c r="I311" i="38"/>
  <c r="E311" i="38"/>
  <c r="D311" i="38"/>
  <c r="I299" i="38"/>
  <c r="E299" i="38"/>
  <c r="E270" i="38"/>
  <c r="D299" i="38"/>
  <c r="I284" i="38"/>
  <c r="E284" i="38"/>
  <c r="D284" i="38"/>
  <c r="I271" i="38"/>
  <c r="E271" i="38"/>
  <c r="D271" i="38"/>
  <c r="D270" i="38"/>
  <c r="I263" i="38"/>
  <c r="E263" i="38"/>
  <c r="D263" i="38"/>
  <c r="I252" i="38"/>
  <c r="E252" i="38"/>
  <c r="D252" i="38"/>
  <c r="I240" i="38"/>
  <c r="E240" i="38"/>
  <c r="D240" i="38"/>
  <c r="I226" i="38"/>
  <c r="E226" i="38"/>
  <c r="D226" i="38"/>
  <c r="I212" i="38"/>
  <c r="E212" i="38"/>
  <c r="D212" i="38"/>
  <c r="D211" i="38"/>
  <c r="I206" i="38"/>
  <c r="E206" i="38"/>
  <c r="D206" i="38"/>
  <c r="I195" i="38"/>
  <c r="E195" i="38"/>
  <c r="D195" i="38"/>
  <c r="I184" i="38"/>
  <c r="E184" i="38"/>
  <c r="D184" i="38"/>
  <c r="I176" i="38"/>
  <c r="E176" i="38"/>
  <c r="D176" i="38"/>
  <c r="I161" i="38"/>
  <c r="E161" i="38"/>
  <c r="D161" i="38"/>
  <c r="I146" i="38"/>
  <c r="E146" i="38"/>
  <c r="E96" i="38"/>
  <c r="D146" i="38"/>
  <c r="I133" i="38"/>
  <c r="E133" i="38"/>
  <c r="D133" i="38"/>
  <c r="I120" i="38"/>
  <c r="E120" i="38"/>
  <c r="D120" i="38"/>
  <c r="I111" i="38"/>
  <c r="I96" i="38"/>
  <c r="E111" i="38"/>
  <c r="D111" i="38"/>
  <c r="I97" i="38"/>
  <c r="E97" i="38"/>
  <c r="D97" i="38"/>
  <c r="I82" i="38"/>
  <c r="I49" i="38"/>
  <c r="E82" i="38"/>
  <c r="D82" i="38"/>
  <c r="I69" i="38"/>
  <c r="E69" i="38"/>
  <c r="D69" i="38"/>
  <c r="I60" i="38"/>
  <c r="E60" i="38"/>
  <c r="E49" i="38"/>
  <c r="D60" i="38"/>
  <c r="D49" i="38"/>
  <c r="I50" i="38"/>
  <c r="E50" i="38"/>
  <c r="D50" i="38"/>
  <c r="I41" i="38"/>
  <c r="I6" i="38"/>
  <c r="E41" i="38"/>
  <c r="D41" i="38"/>
  <c r="E34" i="38"/>
  <c r="E35" i="38"/>
  <c r="E36" i="38"/>
  <c r="E37" i="38"/>
  <c r="E38" i="38"/>
  <c r="E39" i="38"/>
  <c r="E40" i="38"/>
  <c r="I32" i="38"/>
  <c r="D32" i="38"/>
  <c r="E30" i="38"/>
  <c r="E31" i="38"/>
  <c r="E29" i="38"/>
  <c r="I27" i="38"/>
  <c r="D27" i="38"/>
  <c r="E18" i="38"/>
  <c r="E19" i="38"/>
  <c r="I16" i="38"/>
  <c r="D16" i="38"/>
  <c r="E9" i="38"/>
  <c r="E10" i="38"/>
  <c r="E11" i="38"/>
  <c r="E12" i="38"/>
  <c r="E13" i="38"/>
  <c r="E14" i="38"/>
  <c r="E15" i="38"/>
  <c r="I7" i="38"/>
  <c r="D7" i="38"/>
  <c r="M6" i="34"/>
  <c r="D6" i="38"/>
  <c r="D160" i="38"/>
  <c r="E211" i="38"/>
  <c r="I160" i="38"/>
  <c r="E160" i="38"/>
  <c r="I270" i="38"/>
  <c r="E310" i="38"/>
  <c r="I211" i="38"/>
  <c r="I5" i="38"/>
  <c r="E32" i="38"/>
  <c r="D96" i="38"/>
  <c r="E20" i="38"/>
  <c r="E21" i="38"/>
  <c r="E22" i="38"/>
  <c r="E23" i="38"/>
  <c r="E24" i="38"/>
  <c r="E25" i="38"/>
  <c r="E26" i="38"/>
  <c r="E7" i="38"/>
  <c r="E27" i="38"/>
  <c r="D5" i="38"/>
  <c r="G386" i="38"/>
  <c r="E16" i="38"/>
  <c r="E6" i="38"/>
  <c r="E5" i="38"/>
  <c r="E386" i="38"/>
  <c r="F386" i="38"/>
  <c r="H386" i="38"/>
  <c r="J8" i="28"/>
  <c r="I8" i="28"/>
  <c r="K7" i="28"/>
  <c r="K6" i="28"/>
  <c r="K8" i="28"/>
  <c r="F380" i="38"/>
  <c r="G380" i="38"/>
  <c r="H380" i="38"/>
  <c r="F365" i="38"/>
  <c r="G365" i="38"/>
  <c r="H365" i="38"/>
  <c r="F357" i="38"/>
  <c r="F350" i="38"/>
  <c r="G350" i="38"/>
  <c r="H350" i="38"/>
  <c r="F343" i="38"/>
  <c r="G343" i="38"/>
  <c r="H343" i="38"/>
  <c r="F335" i="38"/>
  <c r="G335" i="38"/>
  <c r="H335" i="38"/>
  <c r="F328" i="38"/>
  <c r="G328" i="38"/>
  <c r="H328" i="38"/>
  <c r="F320" i="38"/>
  <c r="F313" i="38"/>
  <c r="G313" i="38"/>
  <c r="H313" i="38"/>
  <c r="F307" i="38"/>
  <c r="G307" i="38"/>
  <c r="H307" i="38"/>
  <c r="F292" i="38"/>
  <c r="G292" i="38"/>
  <c r="H292" i="38"/>
  <c r="F277" i="38"/>
  <c r="G277" i="38"/>
  <c r="H277" i="38"/>
  <c r="F256" i="38"/>
  <c r="G256" i="38"/>
  <c r="H256" i="38"/>
  <c r="F249" i="38"/>
  <c r="G249" i="38"/>
  <c r="H249" i="38"/>
  <c r="F241" i="38"/>
  <c r="F234" i="38"/>
  <c r="G234" i="38"/>
  <c r="H234" i="38"/>
  <c r="F219" i="38"/>
  <c r="G219" i="38"/>
  <c r="H219" i="38"/>
  <c r="F198" i="38"/>
  <c r="G198" i="38"/>
  <c r="H198" i="38"/>
  <c r="F191" i="38"/>
  <c r="G191" i="38"/>
  <c r="H191" i="38"/>
  <c r="F377" i="38"/>
  <c r="G377" i="38"/>
  <c r="H377" i="38"/>
  <c r="F370" i="38"/>
  <c r="G370" i="38"/>
  <c r="H370" i="38"/>
  <c r="F362" i="38"/>
  <c r="G362" i="38"/>
  <c r="H362" i="38"/>
  <c r="F355" i="38"/>
  <c r="G355" i="38"/>
  <c r="H355" i="38"/>
  <c r="F347" i="38"/>
  <c r="G347" i="38"/>
  <c r="H347" i="38"/>
  <c r="F340" i="38"/>
  <c r="G340" i="38"/>
  <c r="H340" i="38"/>
  <c r="F332" i="38"/>
  <c r="G332" i="38"/>
  <c r="H332" i="38"/>
  <c r="F325" i="38"/>
  <c r="G325" i="38"/>
  <c r="H325" i="38"/>
  <c r="F318" i="38"/>
  <c r="G318" i="38"/>
  <c r="H318" i="38"/>
  <c r="F304" i="38"/>
  <c r="G304" i="38"/>
  <c r="H304" i="38"/>
  <c r="F297" i="38"/>
  <c r="G297" i="38"/>
  <c r="H297" i="38"/>
  <c r="F289" i="38"/>
  <c r="G289" i="38"/>
  <c r="H289" i="38"/>
  <c r="F282" i="38"/>
  <c r="G282" i="38"/>
  <c r="H282" i="38"/>
  <c r="F274" i="38"/>
  <c r="G274" i="38"/>
  <c r="H274" i="38"/>
  <c r="F268" i="38"/>
  <c r="G268" i="38"/>
  <c r="H268" i="38"/>
  <c r="F261" i="38"/>
  <c r="G261" i="38"/>
  <c r="H261" i="38"/>
  <c r="F253" i="38"/>
  <c r="F246" i="38"/>
  <c r="G246" i="38"/>
  <c r="H246" i="38"/>
  <c r="F239" i="38"/>
  <c r="G239" i="38"/>
  <c r="H239" i="38"/>
  <c r="F231" i="38"/>
  <c r="G231" i="38"/>
  <c r="H231" i="38"/>
  <c r="F224" i="38"/>
  <c r="G224" i="38"/>
  <c r="H224" i="38"/>
  <c r="F216" i="38"/>
  <c r="G216" i="38"/>
  <c r="H216" i="38"/>
  <c r="F210" i="38"/>
  <c r="G210" i="38"/>
  <c r="H210" i="38"/>
  <c r="F203" i="38"/>
  <c r="G203" i="38"/>
  <c r="H203" i="38"/>
  <c r="F188" i="38"/>
  <c r="G188" i="38"/>
  <c r="H188" i="38"/>
  <c r="F181" i="38"/>
  <c r="G181" i="38"/>
  <c r="H181" i="38"/>
  <c r="F174" i="38"/>
  <c r="G174" i="38"/>
  <c r="H174" i="38"/>
  <c r="F382" i="38"/>
  <c r="G382" i="38"/>
  <c r="H382" i="38"/>
  <c r="F374" i="38"/>
  <c r="G374" i="38"/>
  <c r="H374" i="38"/>
  <c r="F367" i="38"/>
  <c r="G367" i="38"/>
  <c r="H367" i="38"/>
  <c r="F359" i="38"/>
  <c r="G359" i="38"/>
  <c r="H359" i="38"/>
  <c r="F352" i="38"/>
  <c r="G352" i="38"/>
  <c r="H352" i="38"/>
  <c r="F337" i="38"/>
  <c r="G337" i="38"/>
  <c r="H337" i="38"/>
  <c r="F322" i="38"/>
  <c r="G322" i="38"/>
  <c r="H322" i="38"/>
  <c r="F315" i="38"/>
  <c r="G315" i="38"/>
  <c r="H315" i="38"/>
  <c r="F309" i="38"/>
  <c r="G309" i="38"/>
  <c r="H309" i="38"/>
  <c r="F301" i="38"/>
  <c r="G301" i="38"/>
  <c r="H301" i="38"/>
  <c r="F294" i="38"/>
  <c r="G294" i="38"/>
  <c r="H294" i="38"/>
  <c r="F286" i="38"/>
  <c r="G286" i="38"/>
  <c r="H286" i="38"/>
  <c r="F279" i="38"/>
  <c r="G279" i="38"/>
  <c r="H279" i="38"/>
  <c r="F265" i="38"/>
  <c r="G265" i="38"/>
  <c r="H265" i="38"/>
  <c r="F258" i="38"/>
  <c r="G258" i="38"/>
  <c r="H258" i="38"/>
  <c r="F251" i="38"/>
  <c r="G251" i="38"/>
  <c r="H251" i="38"/>
  <c r="F243" i="38"/>
  <c r="G243" i="38"/>
  <c r="H243" i="38"/>
  <c r="F236" i="38"/>
  <c r="G236" i="38"/>
  <c r="H236" i="38"/>
  <c r="F228" i="38"/>
  <c r="G228" i="38"/>
  <c r="H228" i="38"/>
  <c r="F221" i="38"/>
  <c r="G221" i="38"/>
  <c r="H221" i="38"/>
  <c r="F213" i="38"/>
  <c r="F207" i="38"/>
  <c r="F200" i="38"/>
  <c r="G200" i="38"/>
  <c r="H200" i="38"/>
  <c r="F193" i="38"/>
  <c r="G193" i="38"/>
  <c r="H193" i="38"/>
  <c r="F379" i="38"/>
  <c r="G379" i="38"/>
  <c r="H379" i="38"/>
  <c r="F364" i="38"/>
  <c r="G364" i="38"/>
  <c r="H364" i="38"/>
  <c r="F349" i="38"/>
  <c r="G349" i="38"/>
  <c r="H349" i="38"/>
  <c r="F342" i="38"/>
  <c r="G342" i="38"/>
  <c r="H342" i="38"/>
  <c r="F334" i="38"/>
  <c r="G334" i="38"/>
  <c r="H334" i="38"/>
  <c r="F327" i="38"/>
  <c r="G327" i="38"/>
  <c r="H327" i="38"/>
  <c r="F312" i="38"/>
  <c r="F306" i="38"/>
  <c r="G306" i="38"/>
  <c r="H306" i="38"/>
  <c r="F291" i="38"/>
  <c r="G291" i="38"/>
  <c r="H291" i="38"/>
  <c r="F276" i="38"/>
  <c r="G276" i="38"/>
  <c r="H276" i="38"/>
  <c r="F255" i="38"/>
  <c r="G255" i="38"/>
  <c r="H255" i="38"/>
  <c r="F248" i="38"/>
  <c r="G248" i="38"/>
  <c r="H248" i="38"/>
  <c r="F233" i="38"/>
  <c r="G233" i="38"/>
  <c r="H233" i="38"/>
  <c r="F218" i="38"/>
  <c r="G218" i="38"/>
  <c r="H218" i="38"/>
  <c r="F205" i="38"/>
  <c r="G205" i="38"/>
  <c r="H205" i="38"/>
  <c r="F197" i="38"/>
  <c r="G197" i="38"/>
  <c r="H197" i="38"/>
  <c r="F190" i="38"/>
  <c r="G190" i="38"/>
  <c r="H190" i="38"/>
  <c r="F183" i="38"/>
  <c r="G183" i="38"/>
  <c r="H183" i="38"/>
  <c r="F376" i="38"/>
  <c r="G376" i="38"/>
  <c r="H376" i="38"/>
  <c r="F369" i="38"/>
  <c r="G369" i="38"/>
  <c r="H369" i="38"/>
  <c r="F361" i="38"/>
  <c r="G361" i="38"/>
  <c r="H361" i="38"/>
  <c r="F354" i="38"/>
  <c r="G354" i="38"/>
  <c r="H354" i="38"/>
  <c r="F346" i="38"/>
  <c r="G346" i="38"/>
  <c r="H346" i="38"/>
  <c r="F339" i="38"/>
  <c r="G339" i="38"/>
  <c r="H339" i="38"/>
  <c r="F331" i="38"/>
  <c r="G331" i="38"/>
  <c r="H331" i="38"/>
  <c r="F324" i="38"/>
  <c r="G324" i="38"/>
  <c r="H324" i="38"/>
  <c r="F317" i="38"/>
  <c r="G317" i="38"/>
  <c r="H317" i="38"/>
  <c r="F303" i="38"/>
  <c r="G303" i="38"/>
  <c r="H303" i="38"/>
  <c r="F296" i="38"/>
  <c r="G296" i="38"/>
  <c r="H296" i="38"/>
  <c r="F288" i="38"/>
  <c r="G288" i="38"/>
  <c r="H288" i="38"/>
  <c r="F281" i="38"/>
  <c r="G281" i="38"/>
  <c r="H281" i="38"/>
  <c r="F273" i="38"/>
  <c r="G273" i="38"/>
  <c r="H273" i="38"/>
  <c r="F267" i="38"/>
  <c r="G267" i="38"/>
  <c r="H267" i="38"/>
  <c r="F260" i="38"/>
  <c r="G260" i="38"/>
  <c r="H260" i="38"/>
  <c r="F245" i="38"/>
  <c r="G245" i="38"/>
  <c r="H245" i="38"/>
  <c r="F238" i="38"/>
  <c r="G238" i="38"/>
  <c r="H238" i="38"/>
  <c r="F230" i="38"/>
  <c r="G230" i="38"/>
  <c r="H230" i="38"/>
  <c r="F223" i="38"/>
  <c r="G223" i="38"/>
  <c r="H223" i="38"/>
  <c r="F215" i="38"/>
  <c r="G215" i="38"/>
  <c r="H215" i="38"/>
  <c r="F209" i="38"/>
  <c r="G209" i="38"/>
  <c r="H209" i="38"/>
  <c r="F202" i="38"/>
  <c r="G202" i="38"/>
  <c r="H202" i="38"/>
  <c r="F187" i="38"/>
  <c r="G187" i="38"/>
  <c r="H187" i="38"/>
  <c r="F180" i="38"/>
  <c r="G180" i="38"/>
  <c r="H180" i="38"/>
  <c r="F173" i="38"/>
  <c r="G173" i="38"/>
  <c r="H173" i="38"/>
  <c r="F381" i="38"/>
  <c r="G381" i="38"/>
  <c r="H381" i="38"/>
  <c r="F373" i="38"/>
  <c r="F366" i="38"/>
  <c r="G366" i="38"/>
  <c r="H366" i="38"/>
  <c r="F358" i="38"/>
  <c r="G358" i="38"/>
  <c r="H358" i="38"/>
  <c r="F351" i="38"/>
  <c r="G351" i="38"/>
  <c r="H351" i="38"/>
  <c r="F336" i="38"/>
  <c r="G336" i="38"/>
  <c r="H336" i="38"/>
  <c r="F321" i="38"/>
  <c r="G321" i="38"/>
  <c r="H321" i="38"/>
  <c r="F314" i="38"/>
  <c r="G314" i="38"/>
  <c r="H314" i="38"/>
  <c r="F308" i="38"/>
  <c r="G308" i="38"/>
  <c r="H308" i="38"/>
  <c r="F300" i="38"/>
  <c r="F293" i="38"/>
  <c r="G293" i="38"/>
  <c r="H293" i="38"/>
  <c r="F285" i="38"/>
  <c r="F278" i="38"/>
  <c r="G278" i="38"/>
  <c r="H278" i="38"/>
  <c r="F264" i="38"/>
  <c r="F257" i="38"/>
  <c r="G257" i="38"/>
  <c r="H257" i="38"/>
  <c r="F250" i="38"/>
  <c r="G250" i="38"/>
  <c r="H250" i="38"/>
  <c r="F242" i="38"/>
  <c r="G242" i="38"/>
  <c r="H242" i="38"/>
  <c r="F235" i="38"/>
  <c r="G235" i="38"/>
  <c r="H235" i="38"/>
  <c r="F227" i="38"/>
  <c r="F220" i="38"/>
  <c r="G220" i="38"/>
  <c r="H220" i="38"/>
  <c r="F199" i="38"/>
  <c r="G199" i="38"/>
  <c r="H199" i="38"/>
  <c r="F192" i="38"/>
  <c r="G192" i="38"/>
  <c r="H192" i="38"/>
  <c r="F177" i="38"/>
  <c r="F170" i="38"/>
  <c r="G170" i="38"/>
  <c r="H170" i="38"/>
  <c r="F378" i="38"/>
  <c r="G378" i="38"/>
  <c r="H378" i="38"/>
  <c r="F371" i="38"/>
  <c r="G371" i="38"/>
  <c r="H371" i="38"/>
  <c r="F363" i="38"/>
  <c r="G363" i="38"/>
  <c r="H363" i="38"/>
  <c r="F348" i="38"/>
  <c r="G348" i="38"/>
  <c r="H348" i="38"/>
  <c r="F341" i="38"/>
  <c r="G341" i="38"/>
  <c r="H341" i="38"/>
  <c r="F333" i="38"/>
  <c r="G333" i="38"/>
  <c r="H333" i="38"/>
  <c r="F326" i="38"/>
  <c r="G326" i="38"/>
  <c r="H326" i="38"/>
  <c r="F305" i="38"/>
  <c r="G305" i="38"/>
  <c r="H305" i="38"/>
  <c r="F298" i="38"/>
  <c r="G298" i="38"/>
  <c r="H298" i="38"/>
  <c r="F290" i="38"/>
  <c r="G290" i="38"/>
  <c r="H290" i="38"/>
  <c r="F283" i="38"/>
  <c r="G283" i="38"/>
  <c r="H283" i="38"/>
  <c r="F275" i="38"/>
  <c r="G275" i="38"/>
  <c r="H275" i="38"/>
  <c r="F269" i="38"/>
  <c r="G269" i="38"/>
  <c r="H269" i="38"/>
  <c r="F262" i="38"/>
  <c r="G262" i="38"/>
  <c r="H262" i="38"/>
  <c r="F254" i="38"/>
  <c r="G254" i="38"/>
  <c r="H254" i="38"/>
  <c r="F247" i="38"/>
  <c r="G247" i="38"/>
  <c r="H247" i="38"/>
  <c r="F232" i="38"/>
  <c r="G232" i="38"/>
  <c r="H232" i="38"/>
  <c r="F225" i="38"/>
  <c r="G225" i="38"/>
  <c r="H225" i="38"/>
  <c r="F217" i="38"/>
  <c r="G217" i="38"/>
  <c r="H217" i="38"/>
  <c r="F204" i="38"/>
  <c r="G204" i="38"/>
  <c r="H204" i="38"/>
  <c r="F196" i="38"/>
  <c r="F189" i="38"/>
  <c r="G189" i="38"/>
  <c r="H189" i="38"/>
  <c r="F182" i="38"/>
  <c r="G182" i="38"/>
  <c r="H182" i="38"/>
  <c r="F175" i="38"/>
  <c r="G175" i="38"/>
  <c r="H175" i="38"/>
  <c r="F330" i="38"/>
  <c r="F272" i="38"/>
  <c r="F167" i="38"/>
  <c r="G167" i="38"/>
  <c r="H167" i="38"/>
  <c r="F164" i="38"/>
  <c r="G164" i="38"/>
  <c r="H164" i="38"/>
  <c r="F158" i="38"/>
  <c r="G158" i="38"/>
  <c r="H158" i="38"/>
  <c r="F150" i="38"/>
  <c r="G150" i="38"/>
  <c r="H150" i="38"/>
  <c r="F143" i="38"/>
  <c r="G143" i="38"/>
  <c r="H143" i="38"/>
  <c r="F135" i="38"/>
  <c r="G135" i="38"/>
  <c r="H135" i="38"/>
  <c r="F128" i="38"/>
  <c r="G128" i="38"/>
  <c r="H128" i="38"/>
  <c r="F113" i="38"/>
  <c r="G113" i="38"/>
  <c r="H113" i="38"/>
  <c r="F106" i="38"/>
  <c r="G106" i="38"/>
  <c r="H106" i="38"/>
  <c r="F98" i="38"/>
  <c r="F92" i="38"/>
  <c r="G92" i="38"/>
  <c r="H92" i="38"/>
  <c r="F84" i="38"/>
  <c r="G84" i="38"/>
  <c r="H84" i="38"/>
  <c r="F77" i="38"/>
  <c r="G77" i="38"/>
  <c r="H77" i="38"/>
  <c r="F62" i="38"/>
  <c r="G62" i="38"/>
  <c r="H62" i="38"/>
  <c r="F55" i="38"/>
  <c r="G55" i="38"/>
  <c r="H55" i="38"/>
  <c r="F26" i="38"/>
  <c r="G26" i="38"/>
  <c r="H26" i="38"/>
  <c r="F24" i="38"/>
  <c r="G24" i="38"/>
  <c r="H24" i="38"/>
  <c r="F22" i="38"/>
  <c r="G22" i="38"/>
  <c r="H22" i="38"/>
  <c r="F20" i="38"/>
  <c r="G20" i="38"/>
  <c r="H20" i="38"/>
  <c r="F18" i="38"/>
  <c r="G18" i="38"/>
  <c r="H18" i="38"/>
  <c r="F266" i="38"/>
  <c r="G266" i="38"/>
  <c r="H266" i="38"/>
  <c r="F201" i="38"/>
  <c r="G201" i="38"/>
  <c r="H201" i="38"/>
  <c r="F171" i="38"/>
  <c r="G171" i="38"/>
  <c r="H171" i="38"/>
  <c r="F155" i="38"/>
  <c r="G155" i="38"/>
  <c r="H155" i="38"/>
  <c r="F147" i="38"/>
  <c r="F140" i="38"/>
  <c r="G140" i="38"/>
  <c r="H140" i="38"/>
  <c r="F125" i="38"/>
  <c r="G125" i="38"/>
  <c r="H125" i="38"/>
  <c r="F118" i="38"/>
  <c r="G118" i="38"/>
  <c r="H118" i="38"/>
  <c r="F103" i="38"/>
  <c r="G103" i="38"/>
  <c r="H103" i="38"/>
  <c r="F89" i="38"/>
  <c r="G89" i="38"/>
  <c r="H89" i="38"/>
  <c r="F74" i="38"/>
  <c r="G74" i="38"/>
  <c r="H74" i="38"/>
  <c r="F67" i="38"/>
  <c r="G67" i="38"/>
  <c r="H67" i="38"/>
  <c r="F52" i="38"/>
  <c r="G52" i="38"/>
  <c r="H52" i="38"/>
  <c r="F46" i="38"/>
  <c r="G46" i="38"/>
  <c r="H46" i="38"/>
  <c r="F14" i="38"/>
  <c r="G14" i="38"/>
  <c r="H14" i="38"/>
  <c r="F12" i="38"/>
  <c r="G12" i="38"/>
  <c r="H12" i="38"/>
  <c r="F10" i="38"/>
  <c r="G10" i="38"/>
  <c r="H10" i="38"/>
  <c r="F8" i="38"/>
  <c r="F186" i="38"/>
  <c r="G186" i="38"/>
  <c r="H186" i="38"/>
  <c r="F152" i="38"/>
  <c r="G152" i="38"/>
  <c r="H152" i="38"/>
  <c r="F145" i="38"/>
  <c r="G145" i="38"/>
  <c r="H145" i="38"/>
  <c r="F137" i="38"/>
  <c r="G137" i="38"/>
  <c r="H137" i="38"/>
  <c r="F130" i="38"/>
  <c r="G130" i="38"/>
  <c r="H130" i="38"/>
  <c r="F122" i="38"/>
  <c r="G122" i="38"/>
  <c r="H122" i="38"/>
  <c r="F115" i="38"/>
  <c r="G115" i="38"/>
  <c r="H115" i="38"/>
  <c r="F108" i="38"/>
  <c r="G108" i="38"/>
  <c r="H108" i="38"/>
  <c r="F100" i="38"/>
  <c r="G100" i="38"/>
  <c r="H100" i="38"/>
  <c r="F94" i="38"/>
  <c r="G94" i="38"/>
  <c r="H94" i="38"/>
  <c r="F86" i="38"/>
  <c r="G86" i="38"/>
  <c r="H86" i="38"/>
  <c r="F79" i="38"/>
  <c r="G79" i="38"/>
  <c r="H79" i="38"/>
  <c r="F71" i="38"/>
  <c r="G71" i="38"/>
  <c r="H71" i="38"/>
  <c r="F64" i="38"/>
  <c r="G64" i="38"/>
  <c r="H64" i="38"/>
  <c r="F57" i="38"/>
  <c r="G57" i="38"/>
  <c r="H57" i="38"/>
  <c r="F43" i="38"/>
  <c r="G43" i="38"/>
  <c r="H43" i="38"/>
  <c r="F39" i="38"/>
  <c r="G39" i="38"/>
  <c r="H39" i="38"/>
  <c r="F37" i="38"/>
  <c r="G37" i="38"/>
  <c r="H37" i="38"/>
  <c r="F35" i="38"/>
  <c r="G35" i="38"/>
  <c r="H35" i="38"/>
  <c r="F33" i="38"/>
  <c r="F287" i="38"/>
  <c r="G287" i="38"/>
  <c r="H287" i="38"/>
  <c r="F214" i="38"/>
  <c r="G214" i="38"/>
  <c r="H214" i="38"/>
  <c r="F368" i="38"/>
  <c r="G368" i="38"/>
  <c r="H368" i="38"/>
  <c r="F237" i="38"/>
  <c r="G237" i="38"/>
  <c r="H237" i="38"/>
  <c r="F166" i="38"/>
  <c r="G166" i="38"/>
  <c r="H166" i="38"/>
  <c r="F163" i="38"/>
  <c r="G163" i="38"/>
  <c r="H163" i="38"/>
  <c r="F157" i="38"/>
  <c r="G157" i="38"/>
  <c r="H157" i="38"/>
  <c r="F149" i="38"/>
  <c r="G149" i="38"/>
  <c r="H149" i="38"/>
  <c r="F142" i="38"/>
  <c r="G142" i="38"/>
  <c r="H142" i="38"/>
  <c r="F134" i="38"/>
  <c r="F127" i="38"/>
  <c r="G127" i="38"/>
  <c r="H127" i="38"/>
  <c r="F112" i="38"/>
  <c r="F105" i="38"/>
  <c r="G105" i="38"/>
  <c r="H105" i="38"/>
  <c r="F91" i="38"/>
  <c r="G91" i="38"/>
  <c r="H91" i="38"/>
  <c r="F83" i="38"/>
  <c r="F76" i="38"/>
  <c r="G76" i="38"/>
  <c r="H76" i="38"/>
  <c r="F61" i="38"/>
  <c r="F54" i="38"/>
  <c r="G54" i="38"/>
  <c r="H54" i="38"/>
  <c r="F48" i="38"/>
  <c r="G48" i="38"/>
  <c r="H48" i="38"/>
  <c r="F31" i="38"/>
  <c r="G31" i="38"/>
  <c r="H31" i="38"/>
  <c r="F29" i="38"/>
  <c r="G29" i="38"/>
  <c r="H29" i="38"/>
  <c r="F172" i="38"/>
  <c r="G172" i="38"/>
  <c r="H172" i="38"/>
  <c r="F353" i="38"/>
  <c r="G353" i="38"/>
  <c r="H353" i="38"/>
  <c r="F316" i="38"/>
  <c r="G316" i="38"/>
  <c r="H316" i="38"/>
  <c r="F295" i="38"/>
  <c r="G295" i="38"/>
  <c r="H295" i="38"/>
  <c r="F222" i="38"/>
  <c r="G222" i="38"/>
  <c r="H222" i="38"/>
  <c r="F208" i="38"/>
  <c r="G208" i="38"/>
  <c r="H208" i="38"/>
  <c r="F185" i="38"/>
  <c r="F179" i="38"/>
  <c r="G179" i="38"/>
  <c r="H179" i="38"/>
  <c r="F169" i="38"/>
  <c r="G169" i="38"/>
  <c r="H169" i="38"/>
  <c r="F154" i="38"/>
  <c r="G154" i="38"/>
  <c r="H154" i="38"/>
  <c r="F139" i="38"/>
  <c r="G139" i="38"/>
  <c r="H139" i="38"/>
  <c r="F132" i="38"/>
  <c r="G132" i="38"/>
  <c r="H132" i="38"/>
  <c r="F124" i="38"/>
  <c r="G124" i="38"/>
  <c r="H124" i="38"/>
  <c r="F117" i="38"/>
  <c r="G117" i="38"/>
  <c r="H117" i="38"/>
  <c r="F110" i="38"/>
  <c r="G110" i="38"/>
  <c r="H110" i="38"/>
  <c r="F102" i="38"/>
  <c r="G102" i="38"/>
  <c r="H102" i="38"/>
  <c r="F88" i="38"/>
  <c r="G88" i="38"/>
  <c r="H88" i="38"/>
  <c r="F81" i="38"/>
  <c r="G81" i="38"/>
  <c r="H81" i="38"/>
  <c r="F73" i="38"/>
  <c r="G73" i="38"/>
  <c r="H73" i="38"/>
  <c r="F66" i="38"/>
  <c r="G66" i="38"/>
  <c r="H66" i="38"/>
  <c r="F59" i="38"/>
  <c r="G59" i="38"/>
  <c r="H59" i="38"/>
  <c r="F51" i="38"/>
  <c r="F45" i="38"/>
  <c r="G45" i="38"/>
  <c r="H45" i="38"/>
  <c r="F25" i="38"/>
  <c r="G25" i="38"/>
  <c r="H25" i="38"/>
  <c r="F23" i="38"/>
  <c r="G23" i="38"/>
  <c r="H23" i="38"/>
  <c r="F21" i="38"/>
  <c r="G21" i="38"/>
  <c r="H21" i="38"/>
  <c r="F19" i="38"/>
  <c r="G19" i="38"/>
  <c r="H19" i="38"/>
  <c r="F17" i="38"/>
  <c r="F345" i="38"/>
  <c r="F375" i="38"/>
  <c r="G375" i="38"/>
  <c r="H375" i="38"/>
  <c r="F338" i="38"/>
  <c r="G338" i="38"/>
  <c r="H338" i="38"/>
  <c r="F280" i="38"/>
  <c r="G280" i="38"/>
  <c r="H280" i="38"/>
  <c r="F259" i="38"/>
  <c r="G259" i="38"/>
  <c r="H259" i="38"/>
  <c r="F244" i="38"/>
  <c r="G244" i="38"/>
  <c r="H244" i="38"/>
  <c r="F159" i="38"/>
  <c r="G159" i="38"/>
  <c r="H159" i="38"/>
  <c r="F151" i="38"/>
  <c r="G151" i="38"/>
  <c r="H151" i="38"/>
  <c r="F144" i="38"/>
  <c r="G144" i="38"/>
  <c r="H144" i="38"/>
  <c r="F136" i="38"/>
  <c r="G136" i="38"/>
  <c r="H136" i="38"/>
  <c r="F129" i="38"/>
  <c r="G129" i="38"/>
  <c r="H129" i="38"/>
  <c r="F121" i="38"/>
  <c r="F114" i="38"/>
  <c r="G114" i="38"/>
  <c r="H114" i="38"/>
  <c r="F107" i="38"/>
  <c r="G107" i="38"/>
  <c r="H107" i="38"/>
  <c r="F99" i="38"/>
  <c r="G99" i="38"/>
  <c r="H99" i="38"/>
  <c r="F93" i="38"/>
  <c r="G93" i="38"/>
  <c r="H93" i="38"/>
  <c r="F85" i="38"/>
  <c r="G85" i="38"/>
  <c r="H85" i="38"/>
  <c r="F78" i="38"/>
  <c r="G78" i="38"/>
  <c r="H78" i="38"/>
  <c r="F70" i="38"/>
  <c r="F63" i="38"/>
  <c r="G63" i="38"/>
  <c r="H63" i="38"/>
  <c r="F56" i="38"/>
  <c r="G56" i="38"/>
  <c r="H56" i="38"/>
  <c r="F42" i="38"/>
  <c r="F15" i="38"/>
  <c r="G15" i="38"/>
  <c r="H15" i="38"/>
  <c r="F13" i="38"/>
  <c r="G13" i="38"/>
  <c r="H13" i="38"/>
  <c r="F11" i="38"/>
  <c r="G11" i="38"/>
  <c r="H11" i="38"/>
  <c r="F9" i="38"/>
  <c r="G9" i="38"/>
  <c r="H9" i="38"/>
  <c r="F360" i="38"/>
  <c r="G360" i="38"/>
  <c r="H360" i="38"/>
  <c r="F323" i="38"/>
  <c r="G323" i="38"/>
  <c r="H323" i="38"/>
  <c r="F302" i="38"/>
  <c r="G302" i="38"/>
  <c r="H302" i="38"/>
  <c r="F229" i="38"/>
  <c r="G229" i="38"/>
  <c r="H229" i="38"/>
  <c r="F194" i="38"/>
  <c r="G194" i="38"/>
  <c r="H194" i="38"/>
  <c r="F178" i="38"/>
  <c r="G178" i="38"/>
  <c r="H178" i="38"/>
  <c r="F168" i="38"/>
  <c r="G168" i="38"/>
  <c r="H168" i="38"/>
  <c r="F165" i="38"/>
  <c r="G165" i="38"/>
  <c r="H165" i="38"/>
  <c r="F162" i="38"/>
  <c r="F156" i="38"/>
  <c r="G156" i="38"/>
  <c r="H156" i="38"/>
  <c r="F148" i="38"/>
  <c r="G148" i="38"/>
  <c r="H148" i="38"/>
  <c r="F141" i="38"/>
  <c r="G141" i="38"/>
  <c r="H141" i="38"/>
  <c r="F126" i="38"/>
  <c r="G126" i="38"/>
  <c r="H126" i="38"/>
  <c r="F119" i="38"/>
  <c r="G119" i="38"/>
  <c r="H119" i="38"/>
  <c r="F104" i="38"/>
  <c r="G104" i="38"/>
  <c r="H104" i="38"/>
  <c r="F90" i="38"/>
  <c r="G90" i="38"/>
  <c r="H90" i="38"/>
  <c r="F75" i="38"/>
  <c r="G75" i="38"/>
  <c r="H75" i="38"/>
  <c r="F68" i="38"/>
  <c r="G68" i="38"/>
  <c r="H68" i="38"/>
  <c r="F53" i="38"/>
  <c r="G53" i="38"/>
  <c r="H53" i="38"/>
  <c r="F47" i="38"/>
  <c r="G47" i="38"/>
  <c r="H47" i="38"/>
  <c r="F40" i="38"/>
  <c r="G40" i="38"/>
  <c r="H40" i="38"/>
  <c r="F38" i="38"/>
  <c r="G38" i="38"/>
  <c r="H38" i="38"/>
  <c r="F36" i="38"/>
  <c r="G36" i="38"/>
  <c r="H36" i="38"/>
  <c r="F34" i="38"/>
  <c r="G34" i="38"/>
  <c r="H34" i="38"/>
  <c r="F131" i="38"/>
  <c r="G131" i="38"/>
  <c r="H131" i="38"/>
  <c r="F123" i="38"/>
  <c r="G123" i="38"/>
  <c r="H123" i="38"/>
  <c r="F65" i="38"/>
  <c r="G65" i="38"/>
  <c r="H65" i="38"/>
  <c r="F28" i="38"/>
  <c r="F87" i="38"/>
  <c r="G87" i="38"/>
  <c r="H87" i="38"/>
  <c r="F44" i="38"/>
  <c r="G44" i="38"/>
  <c r="H44" i="38"/>
  <c r="F72" i="38"/>
  <c r="G72" i="38"/>
  <c r="H72" i="38"/>
  <c r="F30" i="38"/>
  <c r="G30" i="38"/>
  <c r="H30" i="38"/>
  <c r="F58" i="38"/>
  <c r="G58" i="38"/>
  <c r="H58" i="38"/>
  <c r="F138" i="38"/>
  <c r="G138" i="38"/>
  <c r="H138" i="38"/>
  <c r="F80" i="38"/>
  <c r="G80" i="38"/>
  <c r="H80" i="38"/>
  <c r="F109" i="38"/>
  <c r="G109" i="38"/>
  <c r="H109" i="38"/>
  <c r="F116" i="38"/>
  <c r="G116" i="38"/>
  <c r="H116" i="38"/>
  <c r="F95" i="38"/>
  <c r="G95" i="38"/>
  <c r="H95" i="38"/>
  <c r="F153" i="38"/>
  <c r="G153" i="38"/>
  <c r="H153" i="38"/>
  <c r="F101" i="38"/>
  <c r="G101" i="38"/>
  <c r="H101" i="38"/>
  <c r="F263" i="38"/>
  <c r="G264" i="38"/>
  <c r="F319" i="38"/>
  <c r="G320" i="38"/>
  <c r="F16" i="38"/>
  <c r="G17" i="38"/>
  <c r="G61" i="38"/>
  <c r="F60" i="38"/>
  <c r="F195" i="38"/>
  <c r="G196" i="38"/>
  <c r="F240" i="38"/>
  <c r="G241" i="38"/>
  <c r="F97" i="38"/>
  <c r="G98" i="38"/>
  <c r="F27" i="38"/>
  <c r="G28" i="38"/>
  <c r="G83" i="38"/>
  <c r="F82" i="38"/>
  <c r="G147" i="38"/>
  <c r="F146" i="38"/>
  <c r="F226" i="38"/>
  <c r="G227" i="38"/>
  <c r="G312" i="38"/>
  <c r="F311" i="38"/>
  <c r="F344" i="38"/>
  <c r="G345" i="38"/>
  <c r="G33" i="38"/>
  <c r="F32" i="38"/>
  <c r="F284" i="38"/>
  <c r="G285" i="38"/>
  <c r="F41" i="38"/>
  <c r="G42" i="38"/>
  <c r="F271" i="38"/>
  <c r="G272" i="38"/>
  <c r="F299" i="38"/>
  <c r="G300" i="38"/>
  <c r="F372" i="38"/>
  <c r="G373" i="38"/>
  <c r="G207" i="38"/>
  <c r="F206" i="38"/>
  <c r="G253" i="38"/>
  <c r="F252" i="38"/>
  <c r="F120" i="38"/>
  <c r="G121" i="38"/>
  <c r="F329" i="38"/>
  <c r="G330" i="38"/>
  <c r="G213" i="38"/>
  <c r="F212" i="38"/>
  <c r="F356" i="38"/>
  <c r="G357" i="38"/>
  <c r="F161" i="38"/>
  <c r="G162" i="38"/>
  <c r="F69" i="38"/>
  <c r="G70" i="38"/>
  <c r="G8" i="38"/>
  <c r="F7" i="38"/>
  <c r="F6" i="38"/>
  <c r="G134" i="38"/>
  <c r="F133" i="38"/>
  <c r="G185" i="38"/>
  <c r="F184" i="38"/>
  <c r="G112" i="38"/>
  <c r="F111" i="38"/>
  <c r="F50" i="38"/>
  <c r="G51" i="38"/>
  <c r="F176" i="38"/>
  <c r="G177" i="38"/>
  <c r="K5" i="30"/>
  <c r="J5" i="30"/>
  <c r="I5" i="30"/>
  <c r="G5" i="30"/>
  <c r="F5" i="30"/>
  <c r="E5" i="30"/>
  <c r="F270" i="38"/>
  <c r="F211" i="38"/>
  <c r="F96" i="38"/>
  <c r="G41" i="38"/>
  <c r="H42" i="38"/>
  <c r="H41" i="38"/>
  <c r="G7" i="38"/>
  <c r="H8" i="38"/>
  <c r="H7" i="38"/>
  <c r="H213" i="38"/>
  <c r="H212" i="38"/>
  <c r="G212" i="38"/>
  <c r="H207" i="38"/>
  <c r="H206" i="38"/>
  <c r="G206" i="38"/>
  <c r="H312" i="38"/>
  <c r="H311" i="38"/>
  <c r="G311" i="38"/>
  <c r="H61" i="38"/>
  <c r="H60" i="38"/>
  <c r="G60" i="38"/>
  <c r="G69" i="38"/>
  <c r="H70" i="38"/>
  <c r="H69" i="38"/>
  <c r="G329" i="38"/>
  <c r="H330" i="38"/>
  <c r="H329" i="38"/>
  <c r="G372" i="38"/>
  <c r="H373" i="38"/>
  <c r="H372" i="38"/>
  <c r="G284" i="38"/>
  <c r="H285" i="38"/>
  <c r="H284" i="38"/>
  <c r="G226" i="38"/>
  <c r="H227" i="38"/>
  <c r="H226" i="38"/>
  <c r="G97" i="38"/>
  <c r="H98" i="38"/>
  <c r="H97" i="38"/>
  <c r="H17" i="38"/>
  <c r="H16" i="38"/>
  <c r="G16" i="38"/>
  <c r="G252" i="38"/>
  <c r="H253" i="38"/>
  <c r="H252" i="38"/>
  <c r="F310" i="38"/>
  <c r="G27" i="38"/>
  <c r="H28" i="38"/>
  <c r="H27" i="38"/>
  <c r="G161" i="38"/>
  <c r="H162" i="38"/>
  <c r="H161" i="38"/>
  <c r="G120" i="38"/>
  <c r="H121" i="38"/>
  <c r="H120" i="38"/>
  <c r="G299" i="38"/>
  <c r="H300" i="38"/>
  <c r="H299" i="38"/>
  <c r="G240" i="38"/>
  <c r="H241" i="38"/>
  <c r="H240" i="38"/>
  <c r="G319" i="38"/>
  <c r="H320" i="38"/>
  <c r="H319" i="38"/>
  <c r="H134" i="38"/>
  <c r="H133" i="38"/>
  <c r="G133" i="38"/>
  <c r="H51" i="38"/>
  <c r="H50" i="38"/>
  <c r="G50" i="38"/>
  <c r="F49" i="38"/>
  <c r="H112" i="38"/>
  <c r="H111" i="38"/>
  <c r="G111" i="38"/>
  <c r="G184" i="38"/>
  <c r="H185" i="38"/>
  <c r="H184" i="38"/>
  <c r="F160" i="38"/>
  <c r="H33" i="38"/>
  <c r="H32" i="38"/>
  <c r="G32" i="38"/>
  <c r="G146" i="38"/>
  <c r="H147" i="38"/>
  <c r="H146" i="38"/>
  <c r="H177" i="38"/>
  <c r="H176" i="38"/>
  <c r="G176" i="38"/>
  <c r="G356" i="38"/>
  <c r="H357" i="38"/>
  <c r="H356" i="38"/>
  <c r="G271" i="38"/>
  <c r="H272" i="38"/>
  <c r="H271" i="38"/>
  <c r="H270" i="38"/>
  <c r="G344" i="38"/>
  <c r="H345" i="38"/>
  <c r="H344" i="38"/>
  <c r="G195" i="38"/>
  <c r="H196" i="38"/>
  <c r="H195" i="38"/>
  <c r="G263" i="38"/>
  <c r="H264" i="38"/>
  <c r="H263" i="38"/>
  <c r="H83" i="38"/>
  <c r="H82" i="38"/>
  <c r="G82" i="38"/>
  <c r="M7" i="23"/>
  <c r="I5" i="34"/>
  <c r="I7" i="34"/>
  <c r="G5" i="34"/>
  <c r="G7" i="34"/>
  <c r="F5" i="34"/>
  <c r="F7" i="34"/>
  <c r="E5" i="34"/>
  <c r="E7" i="34"/>
  <c r="K5" i="33"/>
  <c r="K7" i="33"/>
  <c r="J5" i="33"/>
  <c r="J7" i="33"/>
  <c r="I5" i="33"/>
  <c r="I7" i="33"/>
  <c r="G5" i="33"/>
  <c r="G7" i="33"/>
  <c r="F5" i="33"/>
  <c r="F7" i="33"/>
  <c r="E5" i="33"/>
  <c r="E7" i="33"/>
  <c r="K5" i="32"/>
  <c r="K7" i="32"/>
  <c r="J5" i="32"/>
  <c r="J7" i="32"/>
  <c r="I5" i="32"/>
  <c r="I7" i="32"/>
  <c r="G5" i="32"/>
  <c r="G7" i="32"/>
  <c r="F5" i="32"/>
  <c r="F7" i="32"/>
  <c r="E5" i="32"/>
  <c r="E7" i="32"/>
  <c r="I5" i="31"/>
  <c r="I7" i="31"/>
  <c r="G5" i="31"/>
  <c r="G7" i="31"/>
  <c r="F5" i="31"/>
  <c r="F7" i="31"/>
  <c r="E5" i="31"/>
  <c r="E7" i="31"/>
  <c r="I5" i="29"/>
  <c r="K5" i="28"/>
  <c r="J5" i="28"/>
  <c r="I5" i="28"/>
  <c r="G5" i="28"/>
  <c r="G8" i="28"/>
  <c r="F5" i="28"/>
  <c r="F8" i="28"/>
  <c r="E5" i="28"/>
  <c r="E8" i="28"/>
  <c r="K5" i="26"/>
  <c r="K7" i="26"/>
  <c r="J5" i="26"/>
  <c r="J7" i="26"/>
  <c r="I5" i="26"/>
  <c r="I7" i="26"/>
  <c r="G5" i="26"/>
  <c r="G7" i="26"/>
  <c r="F5" i="26"/>
  <c r="F7" i="26"/>
  <c r="E5" i="26"/>
  <c r="E7" i="26"/>
  <c r="N682" i="22"/>
  <c r="F5" i="38"/>
  <c r="H96" i="38"/>
  <c r="H211" i="38"/>
  <c r="G270" i="38"/>
  <c r="G96" i="38"/>
  <c r="G211" i="38"/>
  <c r="G160" i="38"/>
  <c r="H49" i="38"/>
  <c r="G6" i="38"/>
  <c r="G310" i="38"/>
  <c r="G49" i="38"/>
  <c r="H6" i="38"/>
  <c r="H160" i="38"/>
  <c r="H310" i="38"/>
  <c r="H5" i="38"/>
  <c r="G5" i="38"/>
  <c r="G677" i="34"/>
  <c r="G678" i="33"/>
  <c r="G678" i="32"/>
  <c r="G675" i="31"/>
  <c r="B6" i="31"/>
  <c r="G668" i="30"/>
  <c r="I7" i="30"/>
  <c r="E7" i="30"/>
  <c r="G640" i="29"/>
  <c r="I7" i="29"/>
  <c r="E5" i="29"/>
  <c r="E7" i="29"/>
  <c r="G669" i="28"/>
  <c r="G616" i="26"/>
  <c r="G666" i="25"/>
  <c r="I5" i="25"/>
  <c r="I7" i="25"/>
  <c r="E5" i="25"/>
  <c r="E7" i="25"/>
  <c r="G662" i="24"/>
  <c r="E5" i="24"/>
  <c r="E7" i="24"/>
  <c r="G661" i="23"/>
  <c r="I5" i="23"/>
  <c r="I8" i="23"/>
  <c r="E5" i="23"/>
  <c r="E8" i="23"/>
  <c r="G682" i="22"/>
  <c r="I10" i="22"/>
  <c r="E10" i="22"/>
  <c r="I7" i="22"/>
  <c r="E7" i="22"/>
  <c r="M9" i="22"/>
  <c r="M6" i="26"/>
  <c r="M5" i="26"/>
  <c r="M7" i="26"/>
  <c r="I5" i="24"/>
  <c r="I7" i="24"/>
  <c r="M8" i="22"/>
  <c r="E12" i="22"/>
  <c r="I12" i="22"/>
  <c r="K5" i="34"/>
  <c r="K7" i="34"/>
  <c r="J5" i="34"/>
  <c r="J7" i="34"/>
  <c r="K5" i="31"/>
  <c r="K7" i="31"/>
  <c r="J5" i="31"/>
  <c r="J7" i="31"/>
  <c r="M7" i="28"/>
  <c r="F10" i="22"/>
  <c r="M6" i="30"/>
  <c r="M5" i="30"/>
  <c r="M6" i="33"/>
  <c r="M6" i="28"/>
  <c r="M6" i="31"/>
  <c r="M5" i="31"/>
  <c r="M7" i="31"/>
  <c r="M6" i="25"/>
  <c r="M6" i="32"/>
  <c r="M5" i="32"/>
  <c r="M7" i="32"/>
  <c r="K7" i="30"/>
  <c r="J7" i="30"/>
  <c r="G7" i="30"/>
  <c r="F7" i="30"/>
  <c r="F5" i="29"/>
  <c r="F7" i="29"/>
  <c r="J5" i="29"/>
  <c r="J7" i="29"/>
  <c r="K5" i="29"/>
  <c r="K7" i="29"/>
  <c r="J5" i="24"/>
  <c r="J7" i="24"/>
  <c r="K5" i="25"/>
  <c r="K7" i="25"/>
  <c r="G5" i="25"/>
  <c r="G7" i="25"/>
  <c r="K5" i="24"/>
  <c r="K7" i="24"/>
  <c r="J5" i="25"/>
  <c r="J7" i="25"/>
  <c r="F5" i="25"/>
  <c r="F7" i="25"/>
  <c r="M6" i="24"/>
  <c r="F5" i="24"/>
  <c r="F7" i="24"/>
  <c r="K5" i="23"/>
  <c r="K8" i="23"/>
  <c r="G5" i="23"/>
  <c r="G8" i="23"/>
  <c r="J5" i="23"/>
  <c r="J8" i="23"/>
  <c r="F5" i="23"/>
  <c r="F8" i="23"/>
  <c r="J10" i="22"/>
  <c r="K10" i="22"/>
  <c r="K7" i="22"/>
  <c r="J7" i="22"/>
  <c r="G10" i="22"/>
  <c r="F7" i="22"/>
  <c r="M5" i="28"/>
  <c r="M8" i="28"/>
  <c r="F12" i="22"/>
  <c r="M5" i="33"/>
  <c r="M7" i="33"/>
  <c r="M7" i="30"/>
  <c r="M6" i="29"/>
  <c r="N6" i="29"/>
  <c r="G5" i="29"/>
  <c r="G7" i="29"/>
  <c r="M11" i="22"/>
  <c r="M5" i="25"/>
  <c r="M7" i="25"/>
  <c r="G5" i="24"/>
  <c r="G7" i="24"/>
  <c r="M5" i="23"/>
  <c r="M8" i="23"/>
  <c r="M10" i="22"/>
  <c r="K12" i="22"/>
  <c r="G7" i="22"/>
  <c r="G12" i="22"/>
  <c r="J12" i="22"/>
  <c r="M5" i="34"/>
  <c r="M7" i="34"/>
  <c r="M5" i="29"/>
  <c r="M5" i="24"/>
  <c r="M7" i="24"/>
  <c r="M7" i="22"/>
  <c r="M12" i="22"/>
  <c r="M7" i="29"/>
  <c r="B71" i="9"/>
  <c r="B72" i="9"/>
  <c r="B73" i="9"/>
  <c r="B74" i="9"/>
  <c r="B75" i="9"/>
  <c r="B55" i="9"/>
  <c r="B56" i="9"/>
  <c r="B57" i="9"/>
  <c r="B58" i="9"/>
  <c r="B59" i="9"/>
  <c r="B60" i="9"/>
  <c r="B61" i="9"/>
  <c r="B62" i="9"/>
  <c r="B63" i="9"/>
  <c r="B64" i="9"/>
  <c r="B65" i="9"/>
  <c r="B66" i="9"/>
  <c r="B67" i="9"/>
  <c r="B68" i="9"/>
  <c r="B69" i="9"/>
  <c r="B42" i="9"/>
  <c r="B43" i="9"/>
  <c r="B44" i="9"/>
  <c r="B45" i="9"/>
  <c r="B46" i="9"/>
  <c r="B47" i="9"/>
  <c r="B48" i="9"/>
  <c r="B49" i="9"/>
  <c r="B50" i="9"/>
  <c r="B51" i="9"/>
  <c r="B52" i="9"/>
  <c r="B53" i="9"/>
  <c r="B41" i="9"/>
  <c r="B6" i="9"/>
  <c r="B7" i="9"/>
  <c r="B8" i="9"/>
  <c r="B9" i="9"/>
  <c r="B10" i="9"/>
  <c r="B11" i="9"/>
  <c r="B12" i="9"/>
  <c r="B13" i="9"/>
  <c r="B14" i="9"/>
  <c r="B15" i="9"/>
  <c r="B16" i="9"/>
  <c r="B17" i="9"/>
  <c r="B18" i="9"/>
  <c r="B19" i="9"/>
  <c r="B20" i="9"/>
  <c r="B21" i="9"/>
  <c r="B22" i="9"/>
  <c r="B23" i="9"/>
  <c r="B24" i="9"/>
  <c r="B25" i="9"/>
  <c r="B26" i="9"/>
  <c r="B27" i="9"/>
  <c r="B28" i="9"/>
  <c r="B29" i="9"/>
  <c r="B30" i="9"/>
  <c r="B31" i="9"/>
  <c r="B32" i="9"/>
  <c r="B33" i="9"/>
  <c r="B34" i="9"/>
  <c r="B35" i="9"/>
  <c r="B36" i="9"/>
  <c r="B9" i="40"/>
  <c r="B10" i="40"/>
  <c r="B11" i="40"/>
  <c r="B12" i="40"/>
  <c r="B13" i="40"/>
  <c r="B14" i="40"/>
  <c r="B15" i="40"/>
  <c r="B16" i="40"/>
  <c r="B17" i="40"/>
  <c r="B18" i="40"/>
  <c r="B19" i="40"/>
  <c r="B20" i="40"/>
  <c r="B21" i="40"/>
  <c r="B22" i="40"/>
  <c r="B23" i="40"/>
  <c r="B24" i="40"/>
  <c r="B25" i="40"/>
  <c r="B26" i="40"/>
  <c r="B27" i="40"/>
  <c r="B28" i="40"/>
  <c r="B29" i="40"/>
  <c r="B30" i="40"/>
  <c r="B31" i="40"/>
  <c r="B32" i="40"/>
  <c r="B33" i="40"/>
  <c r="B34" i="40"/>
  <c r="B35" i="40"/>
  <c r="B36" i="40"/>
  <c r="B37" i="40"/>
  <c r="B38" i="40"/>
  <c r="B39" i="40"/>
  <c r="B40" i="40"/>
  <c r="B41" i="40"/>
  <c r="B42" i="40"/>
  <c r="B43" i="40"/>
  <c r="B44" i="40"/>
  <c r="B45" i="40"/>
  <c r="B46" i="40"/>
  <c r="B47" i="40"/>
  <c r="B48" i="40"/>
  <c r="B49" i="40"/>
  <c r="B50" i="40"/>
  <c r="B51" i="40"/>
  <c r="B52" i="40"/>
  <c r="B53" i="40"/>
  <c r="B54" i="40"/>
  <c r="B55" i="40"/>
  <c r="B56" i="40"/>
  <c r="B57" i="40"/>
  <c r="B58" i="40"/>
  <c r="B59" i="40"/>
  <c r="B60" i="40"/>
  <c r="B61" i="40"/>
  <c r="B62" i="40"/>
  <c r="B63" i="40"/>
  <c r="B64" i="40"/>
  <c r="B65" i="40"/>
  <c r="B66" i="40"/>
  <c r="B67" i="40"/>
  <c r="B68" i="40"/>
  <c r="B69" i="40"/>
  <c r="B70" i="40"/>
  <c r="B71" i="40"/>
  <c r="B72" i="40"/>
  <c r="B73" i="40"/>
  <c r="B74" i="40"/>
  <c r="B75" i="40"/>
  <c r="B76" i="40"/>
  <c r="B77" i="40"/>
  <c r="B78" i="40"/>
  <c r="B79" i="40"/>
  <c r="B80" i="40"/>
  <c r="B81" i="40"/>
  <c r="B82" i="40"/>
  <c r="B83" i="40"/>
  <c r="B84" i="40"/>
  <c r="B85" i="40"/>
  <c r="B86" i="40"/>
  <c r="B87" i="40"/>
  <c r="B88" i="40"/>
  <c r="B89" i="40"/>
  <c r="B90" i="40"/>
  <c r="B91" i="40"/>
  <c r="B92" i="40"/>
  <c r="B93" i="40"/>
  <c r="B94" i="40"/>
  <c r="B95" i="40"/>
  <c r="B96" i="40"/>
  <c r="B97" i="40"/>
  <c r="B98" i="40"/>
  <c r="B99" i="40"/>
  <c r="B100" i="40"/>
  <c r="B101" i="40"/>
  <c r="B102" i="40"/>
  <c r="B103" i="40"/>
  <c r="B104" i="40"/>
  <c r="B105" i="40"/>
  <c r="B106" i="40"/>
  <c r="B107" i="40"/>
  <c r="B108" i="40"/>
  <c r="B109" i="40"/>
  <c r="B110" i="40"/>
  <c r="B111" i="40"/>
  <c r="B112" i="40"/>
  <c r="B113" i="40"/>
  <c r="B114" i="40"/>
  <c r="B115" i="40"/>
  <c r="B116" i="40"/>
  <c r="B117" i="40"/>
  <c r="B118" i="40"/>
  <c r="B119" i="40"/>
  <c r="B120" i="40"/>
  <c r="B121" i="40"/>
  <c r="B122" i="40"/>
  <c r="B123" i="40"/>
  <c r="B124" i="40"/>
  <c r="B125" i="40"/>
  <c r="B126" i="40"/>
  <c r="B127" i="40"/>
  <c r="B128" i="40"/>
  <c r="B129" i="40"/>
  <c r="B130" i="40"/>
  <c r="B131" i="40"/>
  <c r="B132" i="40"/>
  <c r="B133" i="40"/>
  <c r="B134" i="40"/>
  <c r="B135" i="40"/>
  <c r="B136" i="40"/>
  <c r="B137" i="40"/>
  <c r="B138" i="40"/>
  <c r="B139" i="40"/>
  <c r="B140" i="40"/>
  <c r="B141" i="40"/>
  <c r="B142" i="40"/>
  <c r="B143" i="40"/>
  <c r="B144" i="40"/>
  <c r="B145" i="40"/>
  <c r="B146" i="40"/>
  <c r="B147" i="40"/>
  <c r="B148" i="40"/>
  <c r="B149" i="40"/>
  <c r="B150" i="40"/>
  <c r="B151" i="40"/>
  <c r="B152" i="40"/>
  <c r="B153" i="40"/>
  <c r="B154" i="40"/>
  <c r="B155" i="40"/>
  <c r="B156" i="40"/>
  <c r="B157" i="40"/>
  <c r="B158" i="40"/>
  <c r="B159" i="40"/>
  <c r="B160" i="40"/>
  <c r="B161" i="40"/>
  <c r="B162" i="40"/>
  <c r="B163" i="40"/>
  <c r="B164" i="40"/>
  <c r="B165" i="40"/>
  <c r="B166" i="40"/>
  <c r="B167" i="40"/>
  <c r="B168" i="40"/>
  <c r="B169" i="40"/>
  <c r="B170" i="40"/>
  <c r="B171" i="40"/>
  <c r="B172" i="40"/>
  <c r="B173" i="40"/>
  <c r="B174" i="40"/>
  <c r="B175" i="40"/>
  <c r="B176" i="40"/>
  <c r="B177" i="40"/>
  <c r="B178" i="40"/>
  <c r="B179" i="40"/>
  <c r="B180" i="40"/>
  <c r="B181" i="40"/>
  <c r="B182" i="40"/>
  <c r="B183" i="40"/>
  <c r="B184" i="40"/>
  <c r="B185" i="40"/>
  <c r="B186" i="40"/>
  <c r="B187" i="40"/>
  <c r="B188" i="40"/>
  <c r="B189" i="40"/>
  <c r="B190" i="40"/>
  <c r="B191" i="40"/>
  <c r="B192" i="40"/>
  <c r="B193" i="40"/>
  <c r="B194" i="40"/>
  <c r="B195" i="40"/>
  <c r="B196" i="40"/>
  <c r="B197" i="40"/>
  <c r="B198" i="40"/>
  <c r="B199" i="40"/>
  <c r="B200" i="40"/>
  <c r="B201" i="40"/>
  <c r="B202" i="40"/>
  <c r="B203" i="40"/>
  <c r="B204" i="40"/>
  <c r="B205" i="40"/>
  <c r="B206" i="40"/>
  <c r="B207" i="40"/>
  <c r="B208" i="40"/>
  <c r="B209" i="40"/>
  <c r="B210" i="40"/>
  <c r="B211" i="40"/>
  <c r="B212" i="40"/>
  <c r="B213" i="40"/>
  <c r="B214" i="40"/>
  <c r="B215" i="40"/>
  <c r="B216" i="40"/>
  <c r="B217" i="40"/>
  <c r="B218" i="40"/>
  <c r="B219" i="40"/>
  <c r="B220" i="40"/>
  <c r="B221" i="40"/>
  <c r="B222" i="40"/>
  <c r="B223" i="40"/>
  <c r="B224" i="40"/>
  <c r="B225" i="40"/>
  <c r="B226" i="40"/>
  <c r="B227" i="40"/>
  <c r="B228" i="40"/>
  <c r="B229" i="40"/>
  <c r="B230" i="40"/>
  <c r="B231" i="40"/>
  <c r="B232" i="40"/>
  <c r="B233" i="40"/>
  <c r="B234" i="40"/>
  <c r="B235" i="40"/>
  <c r="B236" i="40"/>
  <c r="B237" i="40"/>
  <c r="B238" i="40"/>
  <c r="B239" i="40"/>
  <c r="B240" i="40"/>
  <c r="B241" i="40"/>
  <c r="B242" i="40"/>
  <c r="B243" i="40"/>
  <c r="B244" i="40"/>
  <c r="B245" i="40"/>
  <c r="B246" i="40"/>
  <c r="B247" i="40"/>
  <c r="B248" i="40"/>
  <c r="B249" i="40"/>
  <c r="B250" i="40"/>
  <c r="B251" i="40"/>
  <c r="B252" i="40"/>
  <c r="B253" i="40"/>
  <c r="B254" i="40"/>
  <c r="B255" i="40"/>
  <c r="B256" i="40"/>
  <c r="B257" i="40"/>
  <c r="B258" i="40"/>
  <c r="B259" i="40"/>
  <c r="B260" i="40"/>
  <c r="B261" i="40"/>
  <c r="B262" i="40"/>
  <c r="B263" i="40"/>
  <c r="B264" i="40"/>
  <c r="B265" i="40"/>
  <c r="B266" i="40"/>
  <c r="B267" i="40"/>
  <c r="B268" i="40"/>
  <c r="B269" i="40"/>
  <c r="B270" i="40"/>
  <c r="B271" i="40"/>
  <c r="B272" i="40"/>
  <c r="B273" i="40"/>
  <c r="B274" i="40"/>
  <c r="B275" i="40"/>
  <c r="B276" i="40"/>
  <c r="B277" i="40"/>
  <c r="B278" i="40"/>
  <c r="B279" i="40"/>
  <c r="B280" i="40"/>
  <c r="B281" i="40"/>
  <c r="B282" i="40"/>
  <c r="B283" i="40"/>
  <c r="B284" i="40"/>
  <c r="B285" i="40"/>
  <c r="B286" i="40"/>
  <c r="B287" i="40"/>
  <c r="B288" i="40"/>
  <c r="B289" i="40"/>
  <c r="B290" i="40"/>
  <c r="B291" i="40"/>
  <c r="B292" i="40"/>
  <c r="B293" i="40"/>
  <c r="B294" i="40"/>
  <c r="B295" i="40"/>
  <c r="B296" i="40"/>
  <c r="B297" i="40"/>
  <c r="B298" i="40"/>
  <c r="B299" i="40"/>
  <c r="B300" i="40"/>
  <c r="B301" i="40"/>
  <c r="B302" i="40"/>
  <c r="B303" i="40"/>
  <c r="B304" i="40"/>
  <c r="B305" i="40"/>
  <c r="B306" i="40"/>
  <c r="B307" i="40"/>
  <c r="B308" i="40"/>
  <c r="B309" i="40"/>
  <c r="B310" i="40"/>
  <c r="B311" i="40"/>
  <c r="B312" i="40"/>
  <c r="B313" i="40"/>
  <c r="B314" i="40"/>
  <c r="B315" i="40"/>
  <c r="B316" i="40"/>
  <c r="B317" i="40"/>
  <c r="B318" i="40"/>
  <c r="B319" i="40"/>
  <c r="B320" i="40"/>
  <c r="B321" i="40"/>
  <c r="B322" i="40"/>
  <c r="B323" i="40"/>
  <c r="B324" i="40"/>
  <c r="B325" i="40"/>
  <c r="B326" i="40"/>
  <c r="B327" i="40"/>
  <c r="B328" i="40"/>
  <c r="B329" i="40"/>
  <c r="B330" i="40"/>
  <c r="B331" i="40"/>
  <c r="B332" i="40"/>
  <c r="B333" i="40"/>
  <c r="B334" i="40"/>
  <c r="B335" i="40"/>
  <c r="B336" i="40"/>
  <c r="B337" i="40"/>
  <c r="B338" i="40"/>
  <c r="B339" i="40"/>
  <c r="B340" i="40"/>
  <c r="B341" i="40"/>
  <c r="B342" i="40"/>
  <c r="B343" i="40"/>
  <c r="B344" i="40"/>
  <c r="B345" i="40"/>
  <c r="B346" i="40"/>
  <c r="B347" i="40"/>
  <c r="B348" i="40"/>
  <c r="B349" i="40"/>
  <c r="B350" i="40"/>
  <c r="B351" i="40"/>
  <c r="B352" i="40"/>
  <c r="B353" i="40"/>
  <c r="B354" i="40"/>
  <c r="B355" i="40"/>
  <c r="B356" i="40"/>
  <c r="B357" i="40"/>
  <c r="B358" i="40"/>
  <c r="B359" i="40"/>
  <c r="B360" i="40"/>
  <c r="B361" i="40"/>
  <c r="B362" i="40"/>
  <c r="B363" i="40"/>
  <c r="B364" i="40"/>
  <c r="B365" i="40"/>
  <c r="B366" i="40"/>
  <c r="B367" i="40"/>
  <c r="B368" i="40"/>
  <c r="B369" i="40"/>
  <c r="B370" i="40"/>
  <c r="B371" i="40"/>
  <c r="B372" i="40"/>
  <c r="B373" i="40"/>
  <c r="B374" i="40"/>
  <c r="B375" i="40"/>
  <c r="B376" i="40"/>
  <c r="B377" i="40"/>
  <c r="B378" i="40"/>
  <c r="B379" i="40"/>
  <c r="B380" i="40"/>
  <c r="B381" i="40"/>
  <c r="B382" i="40"/>
  <c r="B383" i="40"/>
  <c r="B384" i="40"/>
  <c r="B385" i="40"/>
  <c r="B386" i="40"/>
  <c r="B387" i="40"/>
  <c r="B388" i="40"/>
  <c r="B389" i="40"/>
  <c r="B390" i="40"/>
  <c r="B391" i="40"/>
  <c r="B392" i="40"/>
  <c r="B393" i="40"/>
  <c r="B394" i="40"/>
  <c r="B395" i="40"/>
  <c r="B396" i="40"/>
  <c r="B397" i="40"/>
  <c r="B398" i="40"/>
  <c r="B399" i="40"/>
  <c r="B400" i="40"/>
  <c r="B401" i="40"/>
  <c r="B402" i="40"/>
  <c r="B403" i="40"/>
  <c r="B404" i="40"/>
  <c r="B405" i="40"/>
  <c r="B406" i="40"/>
  <c r="B407" i="40"/>
  <c r="B408" i="40"/>
  <c r="B409" i="40"/>
  <c r="B410" i="40"/>
  <c r="B411" i="40"/>
  <c r="B412" i="40"/>
  <c r="B413" i="40"/>
  <c r="B414" i="40"/>
  <c r="B415" i="40"/>
  <c r="B416" i="40"/>
  <c r="B417" i="40"/>
  <c r="B418" i="40"/>
  <c r="B419" i="40"/>
  <c r="B420" i="40"/>
  <c r="B421" i="40"/>
  <c r="B422" i="40"/>
  <c r="B423" i="40"/>
  <c r="B424" i="40"/>
  <c r="B425" i="40"/>
  <c r="B426" i="40"/>
  <c r="B427" i="40"/>
  <c r="B428" i="40"/>
  <c r="B429" i="40"/>
  <c r="B430" i="40"/>
  <c r="B431" i="40"/>
  <c r="B432" i="40"/>
  <c r="B433" i="40"/>
  <c r="B434" i="40"/>
  <c r="B435" i="40"/>
  <c r="B436" i="40"/>
  <c r="B437" i="40"/>
  <c r="B438" i="40"/>
  <c r="B439" i="40"/>
  <c r="B440" i="40"/>
  <c r="B441" i="40"/>
  <c r="B442" i="40"/>
  <c r="B443" i="40"/>
  <c r="B444" i="40"/>
  <c r="B445" i="40"/>
  <c r="B446" i="40"/>
  <c r="B447" i="40"/>
  <c r="B448" i="40"/>
  <c r="B449" i="40"/>
  <c r="B450" i="40"/>
  <c r="B451" i="40"/>
  <c r="B452" i="40"/>
  <c r="B453" i="40"/>
  <c r="B454" i="40"/>
  <c r="B455" i="40"/>
  <c r="B456" i="40"/>
  <c r="B457" i="40"/>
  <c r="B458" i="40"/>
  <c r="B459" i="40"/>
  <c r="B460" i="40"/>
  <c r="B461" i="40"/>
  <c r="B462" i="40"/>
  <c r="B463" i="40"/>
  <c r="B464" i="40"/>
  <c r="B465" i="40"/>
  <c r="B466" i="40"/>
  <c r="B467" i="40"/>
  <c r="B468" i="40"/>
  <c r="B469" i="40"/>
  <c r="B470" i="40"/>
  <c r="B471" i="40"/>
  <c r="B472" i="40"/>
  <c r="B473" i="40"/>
  <c r="B474" i="40"/>
  <c r="B475" i="40"/>
  <c r="B476" i="40"/>
  <c r="B477" i="40"/>
  <c r="B478" i="40"/>
  <c r="B479" i="40"/>
  <c r="B480" i="40"/>
  <c r="B481" i="40"/>
  <c r="B482" i="40"/>
  <c r="B483" i="40"/>
  <c r="B484" i="40"/>
  <c r="B485" i="40"/>
  <c r="B486" i="40"/>
  <c r="B487" i="40"/>
  <c r="B488" i="40"/>
  <c r="B489" i="40"/>
  <c r="B490" i="40"/>
  <c r="B491" i="40"/>
  <c r="B492" i="40"/>
  <c r="B493" i="40"/>
  <c r="B494" i="40"/>
  <c r="B495" i="40"/>
  <c r="B496" i="40"/>
  <c r="B497" i="40"/>
  <c r="B498" i="40"/>
  <c r="B499" i="40"/>
  <c r="B500" i="40"/>
  <c r="B501" i="40"/>
  <c r="B502" i="40"/>
  <c r="B503" i="40"/>
  <c r="B504" i="40"/>
  <c r="B505" i="40"/>
  <c r="B506" i="40"/>
  <c r="B507" i="40"/>
  <c r="B508" i="40"/>
  <c r="B509" i="40"/>
  <c r="B510" i="40"/>
  <c r="B511" i="40"/>
  <c r="B512" i="40"/>
  <c r="B513" i="40"/>
  <c r="B514" i="40"/>
  <c r="B515" i="40"/>
  <c r="B516" i="40"/>
  <c r="B517" i="40"/>
  <c r="B518" i="40"/>
  <c r="B519" i="40"/>
  <c r="B520" i="40"/>
  <c r="B521" i="40"/>
  <c r="B522" i="40"/>
  <c r="B523" i="40"/>
  <c r="B524" i="40"/>
  <c r="B525" i="40"/>
  <c r="B526" i="40"/>
  <c r="B527" i="40"/>
  <c r="B528" i="40"/>
  <c r="B529" i="40"/>
  <c r="B530" i="40"/>
  <c r="B531" i="40"/>
  <c r="B532" i="40"/>
  <c r="B533" i="40"/>
  <c r="B534" i="40"/>
  <c r="B535" i="40"/>
  <c r="B536" i="40"/>
  <c r="B537" i="40"/>
  <c r="B538" i="40"/>
  <c r="B539" i="40"/>
  <c r="B540" i="40"/>
  <c r="B541" i="40"/>
  <c r="B542" i="40"/>
  <c r="B543" i="40"/>
  <c r="B544" i="40"/>
  <c r="B545" i="40"/>
  <c r="B546" i="40"/>
  <c r="B547" i="40"/>
  <c r="B548" i="40"/>
  <c r="B549" i="40"/>
  <c r="B550" i="40"/>
  <c r="B551" i="40"/>
  <c r="B552" i="40"/>
  <c r="B553" i="40"/>
  <c r="B554" i="40"/>
  <c r="B555" i="40"/>
  <c r="B556" i="40"/>
  <c r="B557" i="40"/>
  <c r="B558" i="40"/>
  <c r="B559" i="40"/>
  <c r="B560" i="40"/>
  <c r="B561" i="40"/>
  <c r="B562" i="40"/>
  <c r="B563" i="40"/>
  <c r="B564" i="40"/>
  <c r="B565" i="40"/>
  <c r="B566" i="40"/>
  <c r="B567" i="40"/>
  <c r="B568" i="40"/>
  <c r="B569" i="40"/>
  <c r="B570" i="40"/>
  <c r="B571" i="40"/>
  <c r="B572" i="40"/>
  <c r="B573" i="40"/>
  <c r="B574" i="40"/>
  <c r="B575" i="40"/>
  <c r="B576" i="40"/>
  <c r="B577" i="40"/>
  <c r="B578" i="40"/>
  <c r="B579" i="40"/>
  <c r="B580" i="40"/>
  <c r="B581" i="40"/>
  <c r="B582" i="40"/>
  <c r="B583" i="40"/>
  <c r="B584" i="40"/>
  <c r="B585" i="40"/>
  <c r="B586" i="40"/>
  <c r="B587" i="40"/>
  <c r="B588" i="40"/>
  <c r="B589" i="40"/>
  <c r="B590" i="40"/>
  <c r="B591" i="40"/>
  <c r="B592" i="40"/>
  <c r="B593" i="40"/>
  <c r="B594" i="40"/>
  <c r="B595" i="40"/>
  <c r="B596" i="40"/>
  <c r="B597" i="40"/>
  <c r="B598" i="40"/>
  <c r="B599" i="40"/>
  <c r="B600" i="40"/>
  <c r="B601" i="40"/>
  <c r="B602" i="40"/>
  <c r="B603" i="40"/>
  <c r="B604" i="40"/>
  <c r="B605" i="40"/>
  <c r="B606" i="40"/>
  <c r="B607" i="40"/>
  <c r="B608" i="40"/>
  <c r="B609" i="40"/>
  <c r="B610" i="40"/>
  <c r="B611" i="40"/>
  <c r="B612" i="40"/>
  <c r="B613" i="40"/>
  <c r="B614" i="40"/>
  <c r="B615" i="40"/>
  <c r="B616" i="40"/>
  <c r="B617" i="40"/>
  <c r="B618" i="40"/>
  <c r="B619" i="40"/>
  <c r="B620" i="40"/>
  <c r="B621" i="40"/>
  <c r="B622" i="40"/>
  <c r="B623" i="40"/>
  <c r="B624" i="40"/>
  <c r="B625" i="40"/>
  <c r="B626" i="40"/>
  <c r="B627" i="40"/>
  <c r="B628" i="40"/>
  <c r="B629" i="40"/>
  <c r="B630" i="40"/>
  <c r="B631" i="40"/>
  <c r="B632" i="40"/>
  <c r="B633" i="40"/>
  <c r="B634" i="40"/>
  <c r="B635" i="40"/>
  <c r="B636" i="40"/>
  <c r="B637" i="40"/>
  <c r="B638" i="40"/>
  <c r="B639" i="40"/>
  <c r="B640" i="40"/>
  <c r="B641" i="40"/>
  <c r="B642" i="40"/>
  <c r="B643" i="40"/>
  <c r="B644" i="40"/>
  <c r="B645" i="40"/>
  <c r="B646" i="40"/>
  <c r="B647" i="40"/>
  <c r="B648" i="40"/>
  <c r="B649" i="40"/>
  <c r="B650" i="40"/>
  <c r="B651" i="40"/>
  <c r="B652" i="40"/>
  <c r="B653" i="40"/>
  <c r="B654" i="40"/>
  <c r="B655" i="40"/>
  <c r="B656" i="40"/>
  <c r="B657" i="40"/>
  <c r="B658" i="40"/>
  <c r="B659" i="40"/>
  <c r="B660" i="40"/>
  <c r="B661" i="40"/>
  <c r="B662" i="40"/>
  <c r="B663" i="40"/>
  <c r="B664" i="40"/>
  <c r="B665" i="40"/>
  <c r="B666" i="40"/>
  <c r="B667" i="40"/>
  <c r="B668" i="40"/>
  <c r="B669" i="40"/>
  <c r="B670" i="40"/>
  <c r="B671" i="40"/>
  <c r="B672" i="40"/>
  <c r="B673" i="40"/>
  <c r="B674" i="40"/>
  <c r="B675" i="40"/>
  <c r="B676" i="40"/>
  <c r="B677" i="40"/>
  <c r="B678" i="40"/>
  <c r="B679" i="40"/>
  <c r="B680" i="40"/>
  <c r="B681" i="40"/>
  <c r="B682" i="40"/>
  <c r="B683" i="40"/>
  <c r="B684" i="40"/>
  <c r="B685" i="40"/>
  <c r="B686" i="40"/>
  <c r="B687" i="40"/>
  <c r="B688" i="40"/>
  <c r="B689" i="40"/>
  <c r="B690" i="40"/>
  <c r="B691" i="40"/>
  <c r="B692" i="40"/>
  <c r="B693" i="40"/>
  <c r="B694" i="40"/>
  <c r="B695" i="40"/>
  <c r="B696" i="40"/>
  <c r="B697" i="40"/>
  <c r="B698" i="40"/>
  <c r="B699" i="40"/>
  <c r="B700" i="40"/>
  <c r="B701" i="40"/>
  <c r="B702" i="40"/>
  <c r="B703" i="40"/>
  <c r="B704" i="40"/>
  <c r="B705" i="40"/>
  <c r="B706" i="40"/>
  <c r="B707" i="40"/>
  <c r="B708" i="40"/>
  <c r="B709" i="40"/>
  <c r="B710" i="40"/>
  <c r="B711" i="40"/>
  <c r="B712" i="40"/>
  <c r="B713" i="40"/>
  <c r="B714" i="40"/>
  <c r="B715" i="40"/>
  <c r="B716" i="40"/>
  <c r="B717" i="40"/>
  <c r="B718" i="40"/>
  <c r="B719" i="40"/>
  <c r="B720" i="40"/>
  <c r="B721" i="40"/>
  <c r="B722" i="40"/>
  <c r="B723" i="40"/>
  <c r="B724" i="40"/>
  <c r="B725" i="40"/>
  <c r="B726" i="40"/>
  <c r="B727" i="40"/>
  <c r="B728" i="40"/>
  <c r="B729" i="40"/>
  <c r="B730" i="40"/>
  <c r="B731" i="40"/>
  <c r="B732" i="40"/>
  <c r="B733" i="40"/>
  <c r="B734" i="40"/>
  <c r="B735" i="40"/>
  <c r="B736" i="40"/>
  <c r="B737" i="40"/>
  <c r="B738" i="40"/>
  <c r="B739" i="40"/>
  <c r="B740" i="40"/>
  <c r="B741" i="40"/>
  <c r="B742" i="40"/>
  <c r="B743" i="40"/>
  <c r="B744" i="40"/>
  <c r="B745" i="40"/>
  <c r="B746" i="40"/>
  <c r="B747" i="40"/>
  <c r="B748" i="40"/>
  <c r="B749" i="40"/>
  <c r="B750" i="40"/>
  <c r="B751" i="40"/>
  <c r="B752" i="40"/>
  <c r="B753" i="40"/>
  <c r="B754" i="40"/>
  <c r="B755" i="40"/>
  <c r="B756" i="40"/>
  <c r="B757" i="40"/>
  <c r="B758" i="40"/>
  <c r="B759" i="40"/>
  <c r="B760" i="40"/>
  <c r="B761" i="40"/>
  <c r="B762" i="40"/>
  <c r="B763" i="40"/>
  <c r="B764" i="40"/>
  <c r="B765" i="40"/>
  <c r="B766" i="40"/>
  <c r="B767" i="40"/>
  <c r="B768" i="40"/>
  <c r="B769" i="40"/>
  <c r="B770" i="40"/>
  <c r="B771" i="40"/>
  <c r="B772" i="40"/>
  <c r="B773" i="40"/>
  <c r="B774" i="40"/>
  <c r="B775" i="40"/>
  <c r="B776" i="40"/>
  <c r="B777" i="40"/>
  <c r="B778" i="40"/>
  <c r="B779" i="40"/>
  <c r="B780" i="40"/>
  <c r="B781" i="40"/>
  <c r="B782" i="40"/>
  <c r="B783" i="40"/>
  <c r="B784" i="40"/>
  <c r="B785" i="40"/>
  <c r="B786" i="40"/>
  <c r="B787" i="40"/>
  <c r="B788" i="40"/>
  <c r="B789" i="40"/>
  <c r="B790" i="40"/>
  <c r="B791" i="40"/>
  <c r="B792" i="40"/>
  <c r="B793" i="40"/>
  <c r="B794" i="40"/>
  <c r="B795" i="40"/>
  <c r="B796" i="40"/>
  <c r="B797" i="40"/>
  <c r="B798" i="40"/>
  <c r="B799" i="40"/>
  <c r="B800" i="40"/>
  <c r="B801" i="40"/>
  <c r="B10" i="42"/>
  <c r="B11" i="42"/>
  <c r="B12" i="42"/>
  <c r="B13" i="42"/>
  <c r="B14" i="42"/>
  <c r="B15" i="42"/>
  <c r="B16" i="42"/>
  <c r="B17" i="42"/>
  <c r="B18" i="42"/>
  <c r="B19" i="42"/>
  <c r="B20" i="42"/>
  <c r="B21" i="42"/>
  <c r="B22" i="42"/>
  <c r="B23" i="42"/>
  <c r="B24" i="42"/>
  <c r="B25" i="42"/>
  <c r="B26" i="42"/>
  <c r="B27" i="42"/>
  <c r="B28" i="42"/>
  <c r="B29" i="42"/>
  <c r="B30" i="42"/>
  <c r="B31" i="42"/>
  <c r="B32" i="42"/>
  <c r="B33" i="42"/>
  <c r="B34" i="42"/>
  <c r="B35" i="42"/>
  <c r="B36" i="42"/>
  <c r="B37" i="42"/>
  <c r="B38" i="42"/>
  <c r="B39" i="42"/>
  <c r="B40" i="42"/>
  <c r="B41" i="42"/>
  <c r="B42" i="42"/>
  <c r="B43" i="42"/>
  <c r="B44" i="42"/>
  <c r="B45" i="42"/>
  <c r="B46" i="42"/>
  <c r="B47" i="42"/>
  <c r="B48" i="42"/>
  <c r="B49" i="42"/>
  <c r="B50" i="42"/>
  <c r="B51" i="42"/>
  <c r="B52" i="42"/>
  <c r="B53" i="42"/>
  <c r="B54" i="42"/>
  <c r="B55" i="42"/>
  <c r="B56" i="42"/>
  <c r="B57" i="42"/>
  <c r="B58" i="42"/>
  <c r="B59" i="42"/>
  <c r="B60" i="42"/>
  <c r="B61" i="42"/>
  <c r="B62" i="42"/>
  <c r="B63" i="42"/>
  <c r="B64" i="42"/>
  <c r="B65" i="42"/>
  <c r="B66" i="42"/>
  <c r="B67" i="42"/>
  <c r="B68" i="42"/>
  <c r="B69" i="42"/>
  <c r="B70" i="42"/>
  <c r="B71" i="42"/>
  <c r="B72" i="42"/>
  <c r="B73" i="42"/>
  <c r="B74" i="42"/>
  <c r="B75" i="42"/>
  <c r="B76" i="42"/>
  <c r="B77" i="42"/>
  <c r="B78" i="42"/>
  <c r="B79" i="42"/>
  <c r="B80" i="42"/>
  <c r="B81" i="42"/>
  <c r="B82" i="42"/>
  <c r="B83" i="42"/>
  <c r="B84" i="42"/>
  <c r="B85" i="42"/>
  <c r="B86" i="42"/>
  <c r="B87" i="42"/>
  <c r="B88" i="42"/>
  <c r="B89" i="42"/>
  <c r="B90" i="42"/>
  <c r="B91" i="42"/>
  <c r="B92" i="42"/>
  <c r="B93" i="42"/>
  <c r="B94" i="42"/>
  <c r="B95" i="42"/>
  <c r="B96" i="42"/>
  <c r="B97" i="42"/>
  <c r="B98" i="42"/>
  <c r="B99" i="42"/>
  <c r="B100" i="42"/>
  <c r="B101" i="42"/>
  <c r="B102" i="42"/>
  <c r="B103" i="42"/>
  <c r="B104" i="42"/>
  <c r="B105" i="42"/>
  <c r="B106" i="42"/>
  <c r="B107" i="42"/>
  <c r="B108" i="42"/>
  <c r="B109" i="42"/>
  <c r="B110" i="42"/>
  <c r="B111" i="42"/>
  <c r="B112" i="42"/>
  <c r="B113" i="42"/>
  <c r="B114" i="42"/>
  <c r="B115" i="42"/>
  <c r="B116" i="42"/>
  <c r="B117" i="42"/>
  <c r="B118" i="42"/>
  <c r="B119" i="42"/>
  <c r="B120" i="42"/>
  <c r="B121" i="42"/>
  <c r="B122" i="42"/>
  <c r="B123" i="42"/>
  <c r="B124" i="42"/>
  <c r="B125" i="42"/>
  <c r="B126" i="42"/>
  <c r="B127" i="42"/>
  <c r="B128" i="42"/>
  <c r="B129" i="42"/>
  <c r="B130" i="42"/>
  <c r="B131" i="42"/>
  <c r="B132" i="42"/>
  <c r="B133" i="42"/>
  <c r="B134" i="42"/>
  <c r="B135" i="42"/>
  <c r="B136" i="42"/>
  <c r="B137" i="42"/>
  <c r="B138" i="42"/>
  <c r="B139" i="42"/>
  <c r="B140" i="42"/>
  <c r="B141" i="42"/>
  <c r="B142" i="42"/>
  <c r="B143" i="42"/>
  <c r="B144" i="42"/>
  <c r="B145" i="42"/>
  <c r="B146" i="42"/>
  <c r="B147" i="42"/>
  <c r="B148" i="42"/>
  <c r="B149" i="42"/>
  <c r="B150" i="42"/>
  <c r="B151" i="42"/>
  <c r="B152" i="42"/>
  <c r="B153" i="42"/>
  <c r="B154" i="42"/>
  <c r="B155" i="42"/>
  <c r="B156" i="42"/>
  <c r="B157" i="42"/>
  <c r="B158" i="42"/>
  <c r="B159" i="42"/>
  <c r="B160" i="42"/>
  <c r="B161" i="42"/>
  <c r="B162" i="42"/>
  <c r="B163" i="42"/>
  <c r="B164" i="42"/>
  <c r="B165" i="42"/>
  <c r="B166" i="42"/>
  <c r="B167" i="42"/>
  <c r="B168" i="42"/>
  <c r="B169" i="42"/>
  <c r="B170" i="42"/>
  <c r="B171" i="42"/>
  <c r="B172" i="42"/>
  <c r="B173" i="42"/>
  <c r="B174" i="42"/>
  <c r="B175" i="42"/>
  <c r="B176" i="42"/>
  <c r="B177" i="42"/>
  <c r="B178" i="42"/>
  <c r="B179" i="42"/>
  <c r="B180" i="42"/>
  <c r="B181" i="42"/>
  <c r="B182" i="42"/>
  <c r="B183" i="42"/>
  <c r="B184" i="42"/>
  <c r="B185" i="42"/>
  <c r="B186" i="42"/>
  <c r="B187" i="42"/>
  <c r="B188" i="42"/>
  <c r="B189" i="42"/>
  <c r="B190" i="42"/>
  <c r="B191" i="42"/>
  <c r="B192" i="42"/>
  <c r="B193" i="42"/>
  <c r="B194" i="42"/>
  <c r="B195" i="42"/>
  <c r="B196" i="42"/>
  <c r="B197" i="42"/>
  <c r="B198" i="42"/>
  <c r="B199" i="42"/>
  <c r="B200" i="42"/>
  <c r="B201" i="42"/>
  <c r="B202" i="42"/>
  <c r="B203" i="42"/>
  <c r="B204" i="42"/>
  <c r="B205" i="42"/>
  <c r="B206" i="42"/>
  <c r="B207" i="42"/>
  <c r="B208" i="42"/>
  <c r="B209" i="42"/>
  <c r="B210" i="42"/>
  <c r="B211" i="42"/>
  <c r="B212" i="42"/>
  <c r="B213" i="42"/>
  <c r="B214" i="42"/>
  <c r="B215" i="42"/>
  <c r="B216" i="42"/>
  <c r="B217" i="42"/>
  <c r="B218" i="42"/>
  <c r="B219" i="42"/>
  <c r="B220" i="42"/>
  <c r="B221" i="42"/>
  <c r="B222" i="42"/>
  <c r="B223" i="42"/>
  <c r="B224" i="42"/>
  <c r="B225" i="42"/>
  <c r="B226" i="42"/>
  <c r="B227" i="42"/>
  <c r="B228" i="42"/>
  <c r="B229" i="42"/>
  <c r="B230" i="42"/>
  <c r="B231" i="42"/>
  <c r="B232" i="42"/>
  <c r="B233" i="42"/>
  <c r="B234" i="42"/>
  <c r="B235" i="42"/>
  <c r="B236" i="42"/>
  <c r="B237" i="42"/>
  <c r="B238" i="42"/>
  <c r="B239" i="42"/>
  <c r="B240" i="42"/>
  <c r="B241" i="42"/>
  <c r="B242" i="42"/>
  <c r="B243" i="42"/>
  <c r="B244" i="42"/>
  <c r="B245" i="42"/>
  <c r="B246" i="42"/>
  <c r="B247" i="42"/>
  <c r="B248" i="42"/>
  <c r="B249" i="42"/>
  <c r="B250" i="42"/>
  <c r="B251" i="42"/>
  <c r="B252" i="42"/>
  <c r="B253" i="42"/>
  <c r="B254" i="42"/>
  <c r="B255" i="42"/>
  <c r="B256" i="42"/>
  <c r="B257" i="42"/>
  <c r="B258" i="42"/>
  <c r="B259" i="42"/>
  <c r="B260" i="42"/>
  <c r="B261" i="42"/>
  <c r="B262" i="42"/>
  <c r="B263" i="42"/>
  <c r="B264" i="42"/>
  <c r="B265" i="42"/>
  <c r="B266" i="42"/>
  <c r="B267" i="42"/>
  <c r="B268" i="42"/>
  <c r="B269" i="42"/>
  <c r="B270" i="42"/>
  <c r="B271" i="42"/>
  <c r="B272" i="42"/>
  <c r="B273" i="42"/>
  <c r="B274" i="42"/>
  <c r="B275" i="42"/>
  <c r="B276" i="42"/>
  <c r="B277" i="42"/>
  <c r="B278" i="42"/>
  <c r="B279" i="42"/>
  <c r="B280" i="42"/>
  <c r="B281" i="42"/>
  <c r="B282" i="42"/>
  <c r="B283" i="42"/>
  <c r="B284" i="42"/>
  <c r="B285" i="42"/>
  <c r="B286" i="42"/>
  <c r="B287" i="42"/>
  <c r="B288" i="42"/>
  <c r="B289" i="42"/>
  <c r="B290" i="42"/>
  <c r="B291" i="42"/>
  <c r="B292" i="42"/>
  <c r="B293" i="42"/>
  <c r="B294" i="42"/>
  <c r="B295" i="42"/>
  <c r="B296" i="42"/>
  <c r="B297" i="42"/>
  <c r="B298" i="42"/>
  <c r="B299" i="42"/>
  <c r="B300" i="42"/>
  <c r="B301" i="42"/>
  <c r="B302" i="42"/>
  <c r="B303" i="42"/>
  <c r="B304" i="42"/>
  <c r="B305" i="42"/>
  <c r="B306" i="42"/>
  <c r="B307" i="42"/>
  <c r="B308" i="42"/>
  <c r="B309" i="42"/>
  <c r="B310" i="42"/>
  <c r="B311" i="42"/>
  <c r="B312" i="42"/>
  <c r="B313" i="42"/>
  <c r="B314" i="42"/>
  <c r="B315" i="42"/>
  <c r="B316" i="42"/>
  <c r="B317" i="42"/>
  <c r="B318" i="42"/>
  <c r="B319" i="42"/>
  <c r="B320" i="42"/>
  <c r="B321" i="42"/>
  <c r="B322" i="42"/>
  <c r="B323" i="42"/>
  <c r="B324" i="42"/>
  <c r="B325" i="42"/>
  <c r="B326" i="42"/>
  <c r="B327" i="42"/>
  <c r="B328" i="42"/>
  <c r="B329" i="42"/>
  <c r="B330" i="42"/>
  <c r="B331" i="42"/>
  <c r="B332" i="42"/>
  <c r="B333" i="42"/>
  <c r="B334" i="42"/>
  <c r="B335" i="42"/>
  <c r="B336" i="42"/>
  <c r="B337" i="42"/>
  <c r="B338" i="42"/>
  <c r="B339" i="42"/>
  <c r="B340" i="42"/>
  <c r="B341" i="42"/>
  <c r="B342" i="42"/>
  <c r="B343" i="42"/>
  <c r="B344" i="42"/>
  <c r="B345" i="42"/>
  <c r="B346" i="42"/>
  <c r="B347" i="42"/>
  <c r="B348" i="42"/>
  <c r="B349" i="42"/>
  <c r="B350" i="42"/>
  <c r="B351" i="42"/>
  <c r="B352" i="42"/>
  <c r="B353" i="42"/>
  <c r="B354" i="42"/>
  <c r="B355" i="42"/>
  <c r="B356" i="42"/>
  <c r="B357" i="42"/>
  <c r="B358" i="42"/>
  <c r="B359" i="42"/>
  <c r="B360" i="42"/>
  <c r="B361" i="42"/>
  <c r="B362" i="42"/>
  <c r="B363" i="42"/>
  <c r="B364" i="42"/>
  <c r="B365" i="42"/>
  <c r="B366" i="42"/>
  <c r="B367" i="42"/>
  <c r="B368" i="42"/>
  <c r="B369" i="42"/>
  <c r="B370" i="42"/>
  <c r="B371" i="42"/>
  <c r="B372" i="42"/>
  <c r="B373" i="42"/>
  <c r="B374" i="42"/>
  <c r="B375" i="42"/>
  <c r="B376" i="42"/>
  <c r="B377" i="42"/>
  <c r="B378" i="42"/>
  <c r="B379" i="42"/>
  <c r="B380" i="42"/>
  <c r="B381" i="42"/>
  <c r="B382" i="42"/>
  <c r="B383" i="42"/>
  <c r="B384" i="42"/>
  <c r="B385" i="42"/>
  <c r="B386" i="42"/>
  <c r="B387" i="42"/>
  <c r="B388" i="42"/>
  <c r="B389" i="42"/>
  <c r="B390" i="42"/>
  <c r="B391" i="42"/>
  <c r="B392" i="42"/>
  <c r="B393" i="42"/>
  <c r="B394" i="42"/>
  <c r="B395" i="42"/>
  <c r="B396" i="42"/>
  <c r="B397" i="42"/>
  <c r="B398" i="42"/>
  <c r="B399" i="42"/>
  <c r="B400" i="42"/>
  <c r="B401" i="42"/>
  <c r="B402" i="42"/>
  <c r="B403" i="42"/>
  <c r="B404" i="42"/>
  <c r="B405" i="42"/>
  <c r="B406" i="42"/>
  <c r="B407" i="42"/>
  <c r="B408" i="42"/>
  <c r="B409" i="42"/>
  <c r="B410" i="42"/>
  <c r="B411" i="42"/>
  <c r="B412" i="42"/>
  <c r="B413" i="42"/>
  <c r="B414" i="42"/>
  <c r="B415" i="42"/>
  <c r="B416" i="42"/>
  <c r="B417" i="42"/>
  <c r="B418" i="42"/>
  <c r="B419" i="42"/>
  <c r="B420" i="42"/>
  <c r="B421" i="42"/>
  <c r="B422" i="42"/>
  <c r="B423" i="42"/>
  <c r="B424" i="42"/>
  <c r="B425" i="42"/>
  <c r="B426" i="42"/>
  <c r="B427" i="42"/>
  <c r="B428" i="42"/>
  <c r="B429" i="42"/>
  <c r="B430" i="42"/>
  <c r="B431" i="42"/>
  <c r="B432" i="42"/>
  <c r="B433" i="42"/>
  <c r="B434" i="42"/>
  <c r="B435" i="42"/>
  <c r="B436" i="42"/>
  <c r="B437" i="42"/>
  <c r="B438" i="42"/>
  <c r="B439" i="42"/>
  <c r="B440" i="42"/>
  <c r="B441" i="42"/>
  <c r="B442" i="42"/>
  <c r="B443" i="42"/>
  <c r="B444" i="42"/>
  <c r="B445" i="42"/>
  <c r="B446" i="42"/>
  <c r="B447" i="42"/>
  <c r="B448" i="42"/>
  <c r="B449" i="42"/>
  <c r="B450" i="42"/>
  <c r="B451" i="42"/>
  <c r="B452" i="42"/>
  <c r="B453" i="42"/>
  <c r="B454" i="42"/>
  <c r="B455" i="42"/>
  <c r="B456" i="42"/>
  <c r="B457" i="42"/>
  <c r="B458" i="42"/>
  <c r="B459" i="42"/>
  <c r="B460" i="42"/>
  <c r="B461" i="42"/>
  <c r="B462" i="42"/>
  <c r="B463" i="42"/>
  <c r="B464" i="42"/>
  <c r="B465" i="42"/>
  <c r="B466" i="42"/>
  <c r="B467" i="42"/>
  <c r="B468" i="42"/>
  <c r="B469" i="42"/>
  <c r="B470" i="42"/>
  <c r="B471" i="42"/>
  <c r="B472" i="42"/>
  <c r="B473" i="42"/>
  <c r="B474" i="42"/>
  <c r="B475" i="42"/>
  <c r="B476" i="42"/>
  <c r="B477" i="42"/>
  <c r="B478" i="42"/>
  <c r="B479" i="42"/>
  <c r="B480" i="42"/>
  <c r="B481" i="42"/>
  <c r="B482" i="42"/>
  <c r="B483" i="42"/>
  <c r="B484" i="42"/>
  <c r="B485" i="42"/>
  <c r="B486" i="42"/>
  <c r="B487" i="42"/>
  <c r="B488" i="42"/>
  <c r="B489" i="42"/>
  <c r="B490" i="42"/>
  <c r="B491" i="42"/>
  <c r="B492" i="42"/>
  <c r="B493" i="42"/>
  <c r="B494" i="42"/>
  <c r="B495" i="42"/>
  <c r="B496" i="42"/>
  <c r="B497" i="42"/>
  <c r="B498" i="42"/>
  <c r="B499" i="42"/>
  <c r="B500" i="42"/>
  <c r="B501" i="42"/>
  <c r="B502" i="42"/>
  <c r="B503" i="42"/>
  <c r="B504" i="42"/>
  <c r="B505" i="42"/>
  <c r="B506" i="42"/>
  <c r="B507" i="42"/>
  <c r="B508" i="42"/>
  <c r="B509" i="42"/>
  <c r="B510" i="42"/>
  <c r="B511" i="42"/>
  <c r="B512" i="42"/>
  <c r="B513" i="42"/>
  <c r="B514" i="42"/>
  <c r="B515" i="42"/>
  <c r="B516" i="42"/>
  <c r="B517" i="42"/>
  <c r="B518" i="42"/>
  <c r="B519" i="42"/>
  <c r="B520" i="42"/>
  <c r="B521" i="42"/>
  <c r="B522" i="42"/>
  <c r="B523" i="42"/>
  <c r="B524" i="42"/>
  <c r="B525" i="42"/>
  <c r="B526" i="42"/>
  <c r="B527" i="42"/>
  <c r="B528" i="42"/>
  <c r="B529" i="42"/>
  <c r="B530" i="42"/>
  <c r="B531" i="42"/>
  <c r="B532" i="42"/>
  <c r="B533" i="42"/>
  <c r="B534" i="42"/>
  <c r="B535" i="42"/>
  <c r="B536" i="42"/>
  <c r="B537" i="42"/>
  <c r="B538" i="42"/>
  <c r="B539" i="42"/>
  <c r="B540" i="42"/>
  <c r="B541" i="42"/>
  <c r="B542" i="42"/>
  <c r="B543" i="42"/>
  <c r="B544" i="42"/>
  <c r="B545" i="42"/>
  <c r="B546" i="42"/>
  <c r="B547" i="42"/>
  <c r="B548" i="42"/>
  <c r="B549" i="42"/>
  <c r="B550" i="42"/>
  <c r="B551" i="42"/>
  <c r="B552" i="42"/>
  <c r="B553" i="42"/>
  <c r="B554" i="42"/>
  <c r="B555" i="42"/>
  <c r="B556" i="42"/>
  <c r="B557" i="42"/>
  <c r="B558" i="42"/>
  <c r="B559" i="42"/>
  <c r="B560" i="42"/>
  <c r="B561" i="42"/>
  <c r="B562" i="42"/>
  <c r="B563" i="42"/>
  <c r="B564" i="42"/>
  <c r="B565" i="42"/>
  <c r="B566" i="42"/>
  <c r="B567" i="42"/>
  <c r="B568" i="42"/>
  <c r="B569" i="42"/>
  <c r="B570" i="42"/>
  <c r="B571" i="42"/>
  <c r="B572" i="42"/>
  <c r="B573" i="42"/>
  <c r="B574" i="42"/>
  <c r="B575" i="42"/>
  <c r="B576" i="42"/>
  <c r="B577" i="42"/>
  <c r="B578" i="42"/>
  <c r="B579" i="42"/>
  <c r="B580" i="42"/>
  <c r="B581" i="42"/>
  <c r="B582" i="42"/>
  <c r="B583" i="42"/>
  <c r="B584" i="42"/>
  <c r="B585" i="42"/>
  <c r="B586" i="42"/>
  <c r="B587" i="42"/>
  <c r="B588" i="42"/>
  <c r="B589" i="42"/>
  <c r="B590" i="42"/>
  <c r="B591" i="42"/>
  <c r="B592" i="42"/>
  <c r="B593" i="42"/>
  <c r="B594" i="42"/>
  <c r="B595" i="42"/>
  <c r="B596" i="42"/>
  <c r="B597" i="42"/>
  <c r="B598" i="42"/>
  <c r="B599" i="42"/>
  <c r="B600" i="42"/>
  <c r="B601" i="42"/>
  <c r="B602" i="42"/>
  <c r="B603" i="42"/>
  <c r="B604" i="42"/>
  <c r="B605" i="42"/>
  <c r="B606" i="42"/>
  <c r="B607" i="42"/>
  <c r="B608" i="42"/>
  <c r="B609" i="42"/>
  <c r="B610" i="42"/>
  <c r="B611" i="42"/>
  <c r="B612" i="42"/>
  <c r="B613" i="42"/>
  <c r="B614" i="42"/>
  <c r="B615" i="42"/>
  <c r="B616" i="42"/>
  <c r="B617" i="42"/>
  <c r="B618" i="42"/>
  <c r="B619" i="42"/>
  <c r="B620" i="42"/>
  <c r="B621" i="42"/>
  <c r="B622" i="42"/>
  <c r="B623" i="42"/>
  <c r="B624" i="42"/>
  <c r="B625" i="42"/>
  <c r="B626" i="42"/>
  <c r="B627" i="42"/>
  <c r="B628" i="42"/>
  <c r="B629" i="42"/>
  <c r="B630" i="42"/>
  <c r="B631" i="42"/>
  <c r="B632" i="42"/>
  <c r="B633" i="42"/>
  <c r="B634" i="42"/>
  <c r="B635" i="42"/>
  <c r="B636" i="42"/>
  <c r="B637" i="42"/>
  <c r="B638" i="42"/>
  <c r="B639" i="42"/>
  <c r="B640" i="42"/>
  <c r="B641" i="42"/>
  <c r="B642" i="42"/>
  <c r="B643" i="42"/>
  <c r="B644" i="42"/>
  <c r="B645" i="42"/>
  <c r="B646" i="42"/>
  <c r="B647" i="42"/>
  <c r="B648" i="42"/>
  <c r="B649" i="42"/>
  <c r="B650" i="42"/>
  <c r="B651" i="42"/>
  <c r="B652" i="42"/>
  <c r="B653" i="42"/>
  <c r="B654" i="42"/>
  <c r="B655" i="42"/>
  <c r="B656" i="42"/>
  <c r="B657" i="42"/>
  <c r="B658" i="42"/>
  <c r="B659" i="42"/>
  <c r="B660" i="42"/>
  <c r="B661" i="42"/>
  <c r="B662" i="42"/>
  <c r="B663" i="42"/>
  <c r="B664" i="42"/>
  <c r="B665" i="42"/>
  <c r="B666" i="42"/>
  <c r="B667" i="42"/>
  <c r="B668" i="42"/>
  <c r="B669" i="42"/>
  <c r="B670" i="42"/>
  <c r="B671" i="42"/>
  <c r="B672" i="42"/>
  <c r="B673" i="42"/>
  <c r="B674" i="42"/>
  <c r="B675" i="42"/>
  <c r="B676" i="42"/>
  <c r="B677" i="42"/>
  <c r="B678" i="42"/>
  <c r="B679" i="42"/>
  <c r="B680" i="42"/>
  <c r="B681" i="42"/>
  <c r="B682" i="42"/>
  <c r="B683" i="42"/>
  <c r="B684" i="42"/>
  <c r="B685" i="42"/>
  <c r="B686" i="42"/>
  <c r="B687" i="42"/>
  <c r="B688" i="42"/>
  <c r="B689" i="42"/>
  <c r="B690" i="42"/>
  <c r="B691" i="42"/>
  <c r="B692" i="42"/>
  <c r="B693" i="42"/>
  <c r="B694" i="42"/>
  <c r="B695" i="42"/>
  <c r="B696" i="42"/>
  <c r="B697" i="42"/>
  <c r="B698" i="42"/>
  <c r="B699" i="42"/>
  <c r="B700" i="42"/>
  <c r="B701" i="42"/>
  <c r="B702" i="42"/>
  <c r="B703" i="42"/>
  <c r="B704" i="42"/>
  <c r="B705" i="42"/>
  <c r="B706" i="42"/>
  <c r="B707" i="42"/>
  <c r="B708" i="42"/>
  <c r="B709" i="42"/>
  <c r="B710" i="42"/>
  <c r="B711" i="42"/>
  <c r="B712" i="42"/>
  <c r="B713" i="42"/>
  <c r="B714" i="42"/>
  <c r="B715" i="42"/>
  <c r="B716" i="42"/>
  <c r="B717" i="42"/>
  <c r="B718" i="42"/>
  <c r="B719" i="42"/>
  <c r="B720" i="42"/>
  <c r="B721" i="42"/>
  <c r="B722" i="42"/>
  <c r="B723" i="42"/>
  <c r="B724" i="42"/>
  <c r="B725" i="42"/>
  <c r="B726" i="42"/>
  <c r="B727" i="42"/>
  <c r="B728" i="42"/>
  <c r="B729" i="42"/>
  <c r="B730" i="42"/>
  <c r="B731" i="42"/>
  <c r="B732" i="42"/>
  <c r="B733" i="42"/>
  <c r="B734" i="42"/>
  <c r="B735" i="42"/>
  <c r="B736" i="42"/>
  <c r="B737" i="42"/>
  <c r="B738" i="42"/>
  <c r="B739" i="42"/>
  <c r="B740" i="42"/>
  <c r="B741" i="42"/>
  <c r="B742" i="42"/>
  <c r="B743" i="42"/>
  <c r="B744" i="42"/>
  <c r="B745" i="42"/>
  <c r="B746" i="42"/>
  <c r="B747" i="42"/>
  <c r="B748" i="42"/>
  <c r="B749" i="42"/>
  <c r="B750" i="42"/>
  <c r="B751" i="42"/>
  <c r="B752" i="42"/>
  <c r="B753" i="42"/>
  <c r="B754" i="42"/>
  <c r="B755" i="42"/>
  <c r="B756" i="42"/>
  <c r="B757" i="42"/>
  <c r="B758" i="42"/>
  <c r="B759" i="42"/>
  <c r="B760" i="42"/>
  <c r="B761" i="42"/>
  <c r="B762" i="42"/>
  <c r="B763" i="42"/>
  <c r="B764" i="42"/>
  <c r="B765" i="42"/>
  <c r="B766" i="42"/>
  <c r="B767" i="42"/>
  <c r="B768" i="42"/>
  <c r="B769" i="42"/>
  <c r="B770" i="42"/>
  <c r="B771" i="42"/>
  <c r="B772" i="42"/>
  <c r="B773" i="42"/>
  <c r="B774" i="42"/>
  <c r="B775" i="42"/>
  <c r="B776" i="42"/>
  <c r="B777" i="42"/>
  <c r="B778" i="42"/>
  <c r="B779" i="42"/>
  <c r="B780" i="42"/>
  <c r="B781" i="42"/>
  <c r="B782" i="42"/>
  <c r="B783" i="42"/>
  <c r="B784" i="42"/>
  <c r="B785" i="42"/>
  <c r="B786" i="42"/>
  <c r="B787" i="42"/>
  <c r="B788" i="42"/>
  <c r="B789" i="42"/>
  <c r="B790" i="42"/>
  <c r="B791" i="42"/>
  <c r="B792" i="42"/>
  <c r="B793" i="42"/>
  <c r="B794" i="42"/>
  <c r="B795" i="42"/>
  <c r="B796" i="42"/>
  <c r="B797" i="42"/>
  <c r="B798" i="42"/>
  <c r="B799" i="42"/>
  <c r="B800" i="42"/>
  <c r="B801" i="42"/>
  <c r="B802" i="42"/>
  <c r="B803" i="42"/>
  <c r="B804" i="42"/>
  <c r="B805" i="42"/>
  <c r="B806" i="42"/>
  <c r="B807" i="42"/>
  <c r="B808" i="42"/>
  <c r="B809" i="42"/>
  <c r="B810" i="42"/>
  <c r="B811" i="42"/>
  <c r="B812" i="42"/>
  <c r="B813" i="42"/>
  <c r="B814" i="42"/>
  <c r="B815" i="42"/>
  <c r="B816" i="42"/>
  <c r="B817" i="42"/>
  <c r="B818" i="42"/>
  <c r="B819" i="42"/>
  <c r="B820" i="42"/>
  <c r="B821" i="42"/>
  <c r="B822" i="42"/>
  <c r="B823" i="42"/>
  <c r="B824" i="42"/>
  <c r="B825" i="42"/>
  <c r="B826" i="42"/>
  <c r="B827" i="42"/>
  <c r="B828" i="42"/>
  <c r="B829" i="42"/>
  <c r="B830" i="42"/>
  <c r="B831" i="42"/>
  <c r="B832" i="42"/>
  <c r="B833" i="42"/>
  <c r="B834" i="42"/>
  <c r="B835" i="42"/>
  <c r="B836" i="42"/>
  <c r="B837" i="42"/>
  <c r="B838" i="42"/>
  <c r="B839" i="42"/>
  <c r="B840" i="42"/>
  <c r="B841" i="42"/>
  <c r="B842" i="42"/>
  <c r="B843" i="42"/>
  <c r="B844" i="42"/>
  <c r="B845" i="42"/>
  <c r="B846" i="42"/>
  <c r="B847" i="42"/>
  <c r="B848" i="42"/>
  <c r="B849" i="42"/>
</calcChain>
</file>

<file path=xl/sharedStrings.xml><?xml version="1.0" encoding="utf-8"?>
<sst xmlns="http://schemas.openxmlformats.org/spreadsheetml/2006/main" count="28728" uniqueCount="5069">
  <si>
    <t>Annexe 1 - Profil des sociétés retenues dans le périmètre de rapprochement</t>
  </si>
  <si>
    <t>Annexe 2 - Sociétés retenues pour une déclaration unilatérale</t>
  </si>
  <si>
    <t>Annexe 4 – Fiabilisation des déclarations</t>
  </si>
  <si>
    <t>Annexe 5 – Effectif des employés</t>
  </si>
  <si>
    <t>Annexe 6 – Paiements sociaux obligatoires</t>
  </si>
  <si>
    <t>Annexe 7 – Paiements sociaux volontaires</t>
  </si>
  <si>
    <t>Annexe 8 – Répertoire des titres miniers</t>
  </si>
  <si>
    <t xml:space="preserve">Annexe 9 – Etat des permis octroyés, renouvelés et retirés en 2021 </t>
  </si>
  <si>
    <t>Annexe 10 – Fiche de conciliation par société</t>
  </si>
  <si>
    <t>Annexe 11 – Détail des revenus budgétaires par société extractive</t>
  </si>
  <si>
    <t>Annexe 12 – Détail des revenus budgétaires par flux de paiement</t>
  </si>
  <si>
    <t>Annexe 13 – Détail des paiements des entreprises par société extractive</t>
  </si>
  <si>
    <t>Annexe 14 – Détail des paiements des entreprises par flux de paiement</t>
  </si>
  <si>
    <t>Annexe 15 – Formulaire de déclaration 2021</t>
  </si>
  <si>
    <t>Annexe 16 – Définition des flux de paiement</t>
  </si>
  <si>
    <t>Annexe 17 – Répartition théorique des revenus miniers locaux par collectivités</t>
  </si>
  <si>
    <t>Annexe 18 – Etat détaillé des contrats miniers publiés</t>
  </si>
  <si>
    <t>Annexe 19 – Lette d’affirmation CPDM</t>
  </si>
  <si>
    <t>Annexe 20 – Justificatifs des paiements Winning Consortium</t>
  </si>
  <si>
    <t>Annexe 21 – Recensement des principales dispositions des convention minières récentes</t>
  </si>
  <si>
    <t>Annexe 22 – Processus d’évaluation des risques par entité publique</t>
  </si>
  <si>
    <t xml:space="preserve">Annexe 1 - Profil des sociétés retenues dans le périmètre de rapprochement </t>
  </si>
  <si>
    <t>N°</t>
  </si>
  <si>
    <t>Société</t>
  </si>
  <si>
    <t>Date de création</t>
  </si>
  <si>
    <t xml:space="preserve">Identifiant Fiscal </t>
  </si>
  <si>
    <t xml:space="preserve">Montant du Capital Social </t>
  </si>
  <si>
    <t xml:space="preserve"> Adresse de contact </t>
  </si>
  <si>
    <t>SOCIETE MINIERE DE BOKE SA (SMB)</t>
  </si>
  <si>
    <t>840333827-4M</t>
  </si>
  <si>
    <t>140 000 000 GNF</t>
  </si>
  <si>
    <t>Immeuble WAZNI TOMBO 1, CORNICHE EST</t>
  </si>
  <si>
    <t>COMPAGNIE DES BAUXITES DE GUINEE (CBG)</t>
  </si>
  <si>
    <t>703457069 - 5V</t>
  </si>
  <si>
    <t>2 000 000 USD</t>
  </si>
  <si>
    <t>COMPAGNIE DES BAUXITES DE GUINEE. B.P 523 Conakry | B.P 100 Kamsar</t>
  </si>
  <si>
    <t>SOCIETE MINIERE DE DINGUIRAYE (SMD)</t>
  </si>
  <si>
    <t>417018660 6B</t>
  </si>
  <si>
    <t>6 667 000 USD</t>
  </si>
  <si>
    <t>4ème étage - Immeuble Moussodougou - Résidence 2000  Corniche Coléah Sud – Commune de Matam</t>
  </si>
  <si>
    <t>ALLIANCE MINING COMMODITES GUINEE - SA</t>
  </si>
  <si>
    <t>138924204</t>
  </si>
  <si>
    <t>200 000 000 GNF</t>
  </si>
  <si>
    <t>4è étage, Imm. Labé/Cité Chemin de fer/C. Kaloum</t>
  </si>
  <si>
    <t>SOCIETE DES MINES DE FER DE GUINEE</t>
  </si>
  <si>
    <t>000292U TVA  4U/854011368-TVA 1F</t>
  </si>
  <si>
    <t>99 999 920 USD</t>
  </si>
  <si>
    <t xml:space="preserve">Immeuble –Résidence Jeannine 3e étage Camayenne Commune de Dixinn BP 2046 Conakry Guinée  </t>
  </si>
  <si>
    <t>COMPAGNIE DU DEVELOPPEMENT DES MINES INTERNATIONALES HENAN CHINE SA (CDM)</t>
  </si>
  <si>
    <t>4 400 000 000 GNF</t>
  </si>
  <si>
    <t>Imm Zein 4ème Etage Rue KA 021 Almamya, Kaloum / Conakry</t>
  </si>
  <si>
    <t>SOCIETE CHALCO GUINEA COMPANY SA</t>
  </si>
  <si>
    <t>05/13/2018</t>
  </si>
  <si>
    <t>210625166 5K</t>
  </si>
  <si>
    <t>180 000 000 GNF</t>
  </si>
  <si>
    <t>Résidence Dolphine 2, quartier Coléah, Conakry, Guinée,</t>
  </si>
  <si>
    <t>GLOBAL GOLD</t>
  </si>
  <si>
    <t>Nc</t>
  </si>
  <si>
    <t>SOCIETE GUINEAN GOLD EXPLORATIONS SARLU</t>
  </si>
  <si>
    <t>GUINEAN BIRMIAN GOLD</t>
  </si>
  <si>
    <t>STE SYCAMORE MINE GUINEE SAU</t>
  </si>
  <si>
    <t>WINNNIG CONSORTIUM SIMANDOU</t>
  </si>
  <si>
    <t>Nc : Non communiquée</t>
  </si>
  <si>
    <t xml:space="preserve">Annexe 2 - Sociétés retenues pour une déclaration unilatérale </t>
  </si>
  <si>
    <t xml:space="preserve">Société </t>
  </si>
  <si>
    <t>Activité</t>
  </si>
  <si>
    <t>Catégorie</t>
  </si>
  <si>
    <t>GUINEA ALUMINA CORPORATION S.A</t>
  </si>
  <si>
    <t>CM</t>
  </si>
  <si>
    <t>Secteur des mines et carrières</t>
  </si>
  <si>
    <t>SOCIETE ANGLOGOLD ASHANTI DE GUINEE S.A (SAG)</t>
  </si>
  <si>
    <t>SOCIETE DES MINES DE MANDIANA SA</t>
  </si>
  <si>
    <t>PE-I</t>
  </si>
  <si>
    <t>SOCIETE DES BAUXITES DE GUINEE SA</t>
  </si>
  <si>
    <t>SOCIETE BEL AIR MINING SA</t>
  </si>
  <si>
    <t>COMPAGNIE DE BAUXITES  ET D'ALUMINE DE DIAN-DIAN</t>
  </si>
  <si>
    <t xml:space="preserve">PR-I </t>
  </si>
  <si>
    <t>SOCIETE WINNING CONSORTIUM RAILWAY GUINEA SAU</t>
  </si>
  <si>
    <t>AECPM</t>
  </si>
  <si>
    <t>SOCIETE SPIC INTERNATIONAL INVESTMENT &amp; DEVELOPMENT (GUINEA) CO., LTD</t>
  </si>
  <si>
    <t>DIAMOND CEMENT GUINEA -SA</t>
  </si>
  <si>
    <t>COMPAGNIE DE BAUXITE DE KINDIA (CBK)</t>
  </si>
  <si>
    <t>SONIT GUINEE SARL</t>
  </si>
  <si>
    <t>L’Alliance guinéenne de bauxite, d’alumine et d’aluminium (AGB2A)</t>
  </si>
  <si>
    <t>SOCIETE ODHAV MULTI INDUSTRIE</t>
  </si>
  <si>
    <t>AR</t>
  </si>
  <si>
    <t>SOCIETE D'ALUMINE FRIGUIA</t>
  </si>
  <si>
    <t>CHINA ROAD AND BRIDGE CORPORATION GUINEE SUCCRSALE</t>
  </si>
  <si>
    <t>NEW JAPAN MINING COMPANY SARL</t>
  </si>
  <si>
    <t>SOCIETE FAKO GUINEA BAUXITE RESOURCES SAU</t>
  </si>
  <si>
    <t>AGENCE NATIONALE D’AMENAGEMENT DES INFRASTRUCTURES MINIERES (ANAIM)</t>
  </si>
  <si>
    <t>SE</t>
  </si>
  <si>
    <t>SOCIETE ALLIANCE MINIERE RESPONSABLE SARL</t>
  </si>
  <si>
    <t>STE GUINEAN BRAIN TOUCH SARL</t>
  </si>
  <si>
    <t>SIMFER SA</t>
  </si>
  <si>
    <t>SOCIETE WEILY MINING - SA</t>
  </si>
  <si>
    <t>GUINEENNE DE TERRASSEMENT</t>
  </si>
  <si>
    <t>ASHAPURA GUINEA RESOURCE SARL</t>
  </si>
  <si>
    <t>SOCIETE CAMEN RESOURCES SARL</t>
  </si>
  <si>
    <t>SOCIETE DYNAMIC MINING- SAS</t>
  </si>
  <si>
    <t>SOCIETE KOUROUSSA GOLD MINE SA</t>
  </si>
  <si>
    <t>SOMIAG</t>
  </si>
  <si>
    <t>SOCIETE GUINEENNE DU PATRIMOINE MINIER SA (SOGUIPAMI)</t>
  </si>
  <si>
    <t>GUI-CO-PRES BTP SA</t>
  </si>
  <si>
    <t>SOCIETE HUAYA SARLU</t>
  </si>
  <si>
    <t>SOCIETE MAMOU RESOURCES SARLU</t>
  </si>
  <si>
    <t xml:space="preserve">ALAME                              </t>
  </si>
  <si>
    <t>SOCIETE C ET B BLACK GOLD SA</t>
  </si>
  <si>
    <t>SOCIETE GUINEENNE DE BUSINESS EQUIPEMENTS  et CONSTRUCTION-SA</t>
  </si>
  <si>
    <t>TOP GUINEA MINING SARL</t>
  </si>
  <si>
    <t>Non définie</t>
  </si>
  <si>
    <t>SOCIETE GUITER CARRIERE SARL</t>
  </si>
  <si>
    <t>GOLDEN RIM RESOURCES GUINEA</t>
  </si>
  <si>
    <t>SOCIETE BABI ET SA</t>
  </si>
  <si>
    <t>HONGDA COMPANY SARLU</t>
  </si>
  <si>
    <t>SOCIETE ASHAPURA MINEX RESSOURCES SAU</t>
  </si>
  <si>
    <t>SOCIETE DE COOPERATION ECONOMIQUE et TECHNIQDE CONST DU HUAYU DE CHINE EN GUINEE SARL</t>
  </si>
  <si>
    <t>SOCIETE D'EXPLORATION DE MANDIANA SAU</t>
  </si>
  <si>
    <t>AMG SARL</t>
  </si>
  <si>
    <t>SOCIETE GUINEENNE DE PRESTATIONS et DE CONSTRUCTION SARL</t>
  </si>
  <si>
    <t>WOSSOLO MINING</t>
  </si>
  <si>
    <t>TORO GOLD GUINEE SUCC</t>
  </si>
  <si>
    <t>SOCIETE TROPICALE DE GRANITE</t>
  </si>
  <si>
    <t>STE SWR INTERNATIONAL SARL</t>
  </si>
  <si>
    <t>PE-SI</t>
  </si>
  <si>
    <t>EORASIENNE DE COMMERCE SARL</t>
  </si>
  <si>
    <t>HAI LIN INTERNATIONAL SARLU</t>
  </si>
  <si>
    <t>BOUYGUES TRAVAUX PUBLICS SUCC</t>
  </si>
  <si>
    <t>GROUPEMENT BEGEC - TRAVAUX - GIE</t>
  </si>
  <si>
    <t>SOCIETE SACKO INGENIERIE et CONSTRUCTION-SARLu</t>
  </si>
  <si>
    <t>SOCIETE ENDEAVOUR GUINEE SARLUNIPERS</t>
  </si>
  <si>
    <t>SOCIETE CONTINENTAL AFRICAN MINING SARLU</t>
  </si>
  <si>
    <t>WINNING GUINEE</t>
  </si>
  <si>
    <t>Autres</t>
  </si>
  <si>
    <t>STE LUCKY MINES &amp; MINERALS SARLU</t>
  </si>
  <si>
    <t>SOCIETE TUDOR SARL</t>
  </si>
  <si>
    <t>WACOM KOUROUSSA</t>
  </si>
  <si>
    <t>KINDIA RESOURCES SARLU</t>
  </si>
  <si>
    <t>DTP MINING GUINEE SASU</t>
  </si>
  <si>
    <t>SOCIETE MAK INVESTISSEMENT SARL UNIPERS</t>
  </si>
  <si>
    <t>STE SCETHCG SA</t>
  </si>
  <si>
    <t>STE R &amp; R SARLU</t>
  </si>
  <si>
    <t>SOCIETE GUITER MINING-SA</t>
  </si>
  <si>
    <t>MAG SARL</t>
  </si>
  <si>
    <t>BRONKEDOU GOLD</t>
  </si>
  <si>
    <t>CASSIDY GOLD GUINEE SA</t>
  </si>
  <si>
    <t>SOCIETE INTERNATIONAL DES MINES DE GUINEE</t>
  </si>
  <si>
    <t>AFRIGOLD</t>
  </si>
  <si>
    <t>SOCIETE DJOMA GROUP - SA</t>
  </si>
  <si>
    <t>SOGUIREFEL</t>
  </si>
  <si>
    <t>SRG GUINEE</t>
  </si>
  <si>
    <t>STE TAMYANDOU-KISSI-MINES SARLU</t>
  </si>
  <si>
    <t>STE DAUMINE SARL</t>
  </si>
  <si>
    <t>GLOBAL MINING KOREA CORPORATION SARLU</t>
  </si>
  <si>
    <t>PR-I (Or)</t>
  </si>
  <si>
    <t>SOCIETE EGEC MINING SARL</t>
  </si>
  <si>
    <t>SOCIETE LA GUINEENNE DES MINES - SARL</t>
  </si>
  <si>
    <t>SOCIETE AWAL GUINEE SARL</t>
  </si>
  <si>
    <t>GUINEE GOLD SHOVEL - SARLU</t>
  </si>
  <si>
    <t>MANOU CAMARA LOGISTICS ET MINING SARLU</t>
  </si>
  <si>
    <t>SOCIETE SAM</t>
  </si>
  <si>
    <t>BLASTICO SARL</t>
  </si>
  <si>
    <t>SOCIETE KING FISHER RESOURCES SARLUNIPERS</t>
  </si>
  <si>
    <t>IAMGOLD EXPLORATION MALI GUINEE SUCCURSALE</t>
  </si>
  <si>
    <t>SOCIETE DE COOPERT ECONOMIQUE ET TECHNIQUE DE CONSTRUCTION DU HUAIN DE CHINE EN GUINEE</t>
  </si>
  <si>
    <t>SOCIETE GUINEENNE D'EXPLOITATION DES MINES ET METAUX- SA</t>
  </si>
  <si>
    <t>REMA TIP TOP GUINEA SARL</t>
  </si>
  <si>
    <t>SOCIETE ZHENGYUAN INTERNATIONAL SARL</t>
  </si>
  <si>
    <t>MOVICORTES GUINEA MINING SASU</t>
  </si>
  <si>
    <t>WOULADA GOLD</t>
  </si>
  <si>
    <t>SOCIETE TBEA WEST AFRICA PORT HOLDING LIMITED SAU</t>
  </si>
  <si>
    <t>LION</t>
  </si>
  <si>
    <t xml:space="preserve">SOCIETE PHOENIX GBT SARL           </t>
  </si>
  <si>
    <t>STE LA GUINEENNE DE LOGISTIQUE &amp; DES MINES SARL</t>
  </si>
  <si>
    <t>SOCIETE WAD SARL</t>
  </si>
  <si>
    <t>MOKATOUR CONSULTING GROUP SARL</t>
  </si>
  <si>
    <t>SOCIETE AFRICAN MINING SERVICES-GUINEE-SARL</t>
  </si>
  <si>
    <t>VICTORKENANE</t>
  </si>
  <si>
    <t>K B GOLD</t>
  </si>
  <si>
    <t>PR-I</t>
  </si>
  <si>
    <t>STE SILVER VALLEY INTERNATIONAL SA</t>
  </si>
  <si>
    <t>SOCIETE LA GUINEENNE DES MINES DE BAUXITE SARL UNIPERS</t>
  </si>
  <si>
    <t>ORBEX BULLION</t>
  </si>
  <si>
    <t>SOCIETE SEKE GOLD MINING SA</t>
  </si>
  <si>
    <t>STE DJOMA MINING SAU</t>
  </si>
  <si>
    <t>STE CORE INTERNATIONAL MINING SARL</t>
  </si>
  <si>
    <t>SOCIÉTÉ ZHUANG MINING</t>
  </si>
  <si>
    <t>SERVICES GUINEE SOCIETE MINERAL</t>
  </si>
  <si>
    <t>SOCIETE DE DEVELOPPEMENT SINO-GUINEENNE SARL</t>
  </si>
  <si>
    <t>KATAMON MINING - SARL</t>
  </si>
  <si>
    <t>SOCIETE ALCOA-GUINEE</t>
  </si>
  <si>
    <t>TARESSA MINING LOGISTIC</t>
  </si>
  <si>
    <t>SOCIETE CIM YUKUANG-GUINEE-SA</t>
  </si>
  <si>
    <t>SOCIETE SOL GUINEE SAU</t>
  </si>
  <si>
    <t>STE FEBI ITC SARL</t>
  </si>
  <si>
    <t>ZHONG-YA-MINING COMPAGNY</t>
  </si>
  <si>
    <t>SOCIETE TIGONG SARLU</t>
  </si>
  <si>
    <t>STE FANKAMA MINING &amp; CONSTRUCTION SARL</t>
  </si>
  <si>
    <t>SOCIETE SABOUGNOUMA DE TOUBA - SARL</t>
  </si>
  <si>
    <t>SOCIETE METAL CONAKRY SARL</t>
  </si>
  <si>
    <t>STE SOUGUETA MINING COMPANY SA</t>
  </si>
  <si>
    <t>STE TAIBA GRANULATS SARL</t>
  </si>
  <si>
    <t>SOC GUINEA CONTEMPORARY ROAD et BRIDGE CONST CORPORATION SAU</t>
  </si>
  <si>
    <t>STE ALAMAKO CORPORATION INTERNATIONAL SARL</t>
  </si>
  <si>
    <t>SOCIETE IMPACT AFRICA SARL</t>
  </si>
  <si>
    <t>STE JAMIL EZZEDINE SARL</t>
  </si>
  <si>
    <t>LIONSTAR</t>
  </si>
  <si>
    <t>STE AWASSOU INVESTMENTS SA</t>
  </si>
  <si>
    <t>MARKETBIS</t>
  </si>
  <si>
    <t>GUITTER</t>
  </si>
  <si>
    <t>STE SELLA MINING SARL</t>
  </si>
  <si>
    <t>BAUXITE KIMBO SAUNIPERS</t>
  </si>
  <si>
    <t>GROUPE CIRE MADY - SA</t>
  </si>
  <si>
    <t>SOCIETE DJOMA MINING-SAUnip</t>
  </si>
  <si>
    <t>GARDIN QIQI SARLU</t>
  </si>
  <si>
    <t>STE GUINEENNE DE BUSINESS EQUIPEMENT ET CONSTRUCTION SARL</t>
  </si>
  <si>
    <t>SOCIETE TRUSTACO GOLD SARL UNIP</t>
  </si>
  <si>
    <t>SOCIETE KIMBO et CO.PORT - SAU</t>
  </si>
  <si>
    <t>SOCIETE C W F SARL</t>
  </si>
  <si>
    <t>SOC D'EXPL BAUXITES DABOLA-TOUGUE</t>
  </si>
  <si>
    <t>GUAN - TANTA - SARL</t>
  </si>
  <si>
    <t>SOCIETE T.M.K MINING SA</t>
  </si>
  <si>
    <t>STE CONSOLIDATED MINING CORPORATION</t>
  </si>
  <si>
    <t>CHINA STANDARD INSPECTION GUINEA</t>
  </si>
  <si>
    <t>WEILY KAKIMBO GROUP S.A</t>
  </si>
  <si>
    <t>SOCIETE FAKO RESOURCES SARL</t>
  </si>
  <si>
    <t>SOCIETE HUAXIN CONSTRUCTION CO.LTD GUINEE SARLU</t>
  </si>
  <si>
    <t>STE MB ENTREPRISE-GIE</t>
  </si>
  <si>
    <t>SOCIETE SHANGHAI PU ZHEN SARLUNIPERS</t>
  </si>
  <si>
    <t>STE DE FORAGES ET DE TRAVAUX PUBLICS GUINEE SA</t>
  </si>
  <si>
    <t>SOMALU</t>
  </si>
  <si>
    <t>STE PELFACO GUINEA LIMITED SA</t>
  </si>
  <si>
    <t>KB BAUXITE GUINEE SARLU</t>
  </si>
  <si>
    <t>GUINEE CONSTRUCTION SERVICES-SARL</t>
  </si>
  <si>
    <t>SOCIETE DRILLING BLASTING ENGINEERING GUINEA SARL</t>
  </si>
  <si>
    <t>STE HANN &amp; COMPAGNIE SA</t>
  </si>
  <si>
    <t>SOCIETE GUINEENNE DE RECHERCHE ET D'EXPLOITATION MINIERE SARL</t>
  </si>
  <si>
    <t>STE MINERAL SANDS CONSULTANTS SARL</t>
  </si>
  <si>
    <t>AFRICAN TITANIUM - SASU</t>
  </si>
  <si>
    <t>SOCIETE NIMBA GOLD SARL</t>
  </si>
  <si>
    <t>STE DE GESTION ET DE CONSTRUCTION GUINEENNE SA</t>
  </si>
  <si>
    <t>STE TMK MINING SA</t>
  </si>
  <si>
    <t>ANGLO GOLD</t>
  </si>
  <si>
    <t>STE INGENIERIE &amp; CONSTRUCTION SARL</t>
  </si>
  <si>
    <t>SOCIETE EURASIAN RESSOURCES - SARL</t>
  </si>
  <si>
    <t>SOC. D'EXPLOITATION DES PRODUITS VEGETAUX ET MINERAUX DE GUINEE</t>
  </si>
  <si>
    <t>STE BEYLA MINING &amp; MINERALS SARLU</t>
  </si>
  <si>
    <t>GRM</t>
  </si>
  <si>
    <t>SOCIETE FANKAMA ADVANTAGE SERVICES SARL</t>
  </si>
  <si>
    <t>TRANSPORT FAMILLE NIMAGAN</t>
  </si>
  <si>
    <t>GEOPROSPECTS GUINEE</t>
  </si>
  <si>
    <t>SOCIETE GOLD AND SILVER INVESTMENT CO LTD SARL</t>
  </si>
  <si>
    <t>GUINEENNE DE PRESTATION ET DE CONSTRUCTION</t>
  </si>
  <si>
    <t>Sorex SA</t>
  </si>
  <si>
    <t>PR-I (Bauxite)</t>
  </si>
  <si>
    <t>STE ICONEX GUINEE SA</t>
  </si>
  <si>
    <t>STE COMPAGNIE FRANCE GUINEE SARLU</t>
  </si>
  <si>
    <t>CRCC WEST AFRICA LTD SARL</t>
  </si>
  <si>
    <t>FABRIC GRANIT et MATERIAUX CONSTRUCT</t>
  </si>
  <si>
    <t>STE GROUPE NOTRE VISION SA</t>
  </si>
  <si>
    <t>E T F SUCCURSALE</t>
  </si>
  <si>
    <t>MALIGUIA INGENIERIE SERVICES</t>
  </si>
  <si>
    <t>SOCIETE LB SARL</t>
  </si>
  <si>
    <t>SOCIETE RESSOURCES TASSILIMAN BAOULE SA</t>
  </si>
  <si>
    <t>SOCIETE GUINEA EVERGREEN MINING INTELLIGENCE COMPANY LDT SAU</t>
  </si>
  <si>
    <t>SOCIETE TELIMELE BAUXITE COOPERATION SA</t>
  </si>
  <si>
    <t>CHINE HAOXIANG MINING CO.LTD SARL</t>
  </si>
  <si>
    <t>SOCIETE TREDEMERCE INTERNATIONAL GROUP - SARLUNIPERS</t>
  </si>
  <si>
    <t>SOCIETE FATALA MINING INVESTMENT COMPANY SAU</t>
  </si>
  <si>
    <t>GAVAR INVESTMENT MANAGEMENT CO LTD SAU</t>
  </si>
  <si>
    <t>VEP GROUPE SARL</t>
  </si>
  <si>
    <t>SOCIETE FORTUNE CONSTRUCTION CONSORTIUM SA</t>
  </si>
  <si>
    <t>GUINEA TIANCHI MINING DEVELOPMENT CORPORATION SAU</t>
  </si>
  <si>
    <t>SOCIETE KOUNADY CONSTRUCTION BATIMENTS ET TRAVAUX PUBLICS - SA</t>
  </si>
  <si>
    <t>STE CISSE HASSAWIE SARLU</t>
  </si>
  <si>
    <t>STE SOLUTION C MINING SARL</t>
  </si>
  <si>
    <t>SOCIETE DE CONSTRUCTION ET D'EXPLOITATION MINIERE SARLUNIPERS</t>
  </si>
  <si>
    <t>STE MINERALFIELDS GUINEA SARLU</t>
  </si>
  <si>
    <t>STE BARRY &amp; SONS COMPANY SARL</t>
  </si>
  <si>
    <t>ALEN BENJAMEN BETTINA</t>
  </si>
  <si>
    <t>KAKANDE REMOTE SITE SERVICES S.A.S</t>
  </si>
  <si>
    <t>STE MINES DE GUINEE SA</t>
  </si>
  <si>
    <t>STE BLACKSTONE MINING GROUP SARL</t>
  </si>
  <si>
    <t>SOCIETE B M E - GUINEE - SARL</t>
  </si>
  <si>
    <t>STE KANTEX GUINEE SARLU</t>
  </si>
  <si>
    <t>MANDEN MINING CORPORATION SARLUNIP</t>
  </si>
  <si>
    <t>SOCIETE AFRCA GOLD SA</t>
  </si>
  <si>
    <t>SOCIETE GUI APPRO SARL</t>
  </si>
  <si>
    <t>SOCIETE ACI SARL</t>
  </si>
  <si>
    <t>FRAISCERTIFICATDI</t>
  </si>
  <si>
    <t>STE MINIERE DE NAFADJI (SMN) SARL</t>
  </si>
  <si>
    <t>GOLD ART</t>
  </si>
  <si>
    <t>YANTAI PORT INTERNATIONAL ENGINEERING PTE.LTD - SUCC</t>
  </si>
  <si>
    <t>GUINEAN NATIONAL CONTRACTORS SA</t>
  </si>
  <si>
    <t>SENDOUGOU</t>
  </si>
  <si>
    <t>TEWAMINING</t>
  </si>
  <si>
    <t>BAKARYKAKORO</t>
  </si>
  <si>
    <t>STE TORO GOLD LIMITED</t>
  </si>
  <si>
    <t>Société Guinéenne de Financement et Investissement SARL</t>
  </si>
  <si>
    <t>WASFELAIDCMARKET</t>
  </si>
  <si>
    <t>ZAZA GLOBAL</t>
  </si>
  <si>
    <t>STE GUINEENNE DE BETON SARLU</t>
  </si>
  <si>
    <t>CRCB</t>
  </si>
  <si>
    <t>STEAXEMINING</t>
  </si>
  <si>
    <t>STESEKOUGOLDEN</t>
  </si>
  <si>
    <t>TRADEKLASSARL</t>
  </si>
  <si>
    <t>ANGLOGOLDENTREPRI</t>
  </si>
  <si>
    <t>METALTRADE</t>
  </si>
  <si>
    <t>MOBINEKMINING</t>
  </si>
  <si>
    <t>GUINEAMININGTRADE</t>
  </si>
  <si>
    <t>KSTAR</t>
  </si>
  <si>
    <t>ORIENTGOLD</t>
  </si>
  <si>
    <t>RAMALSARL</t>
  </si>
  <si>
    <t>ACMINTLTD</t>
  </si>
  <si>
    <t>SHINYMETALLIMITED</t>
  </si>
  <si>
    <t>ETSBALLEAH</t>
  </si>
  <si>
    <t>JIMCISSEGLOBAL</t>
  </si>
  <si>
    <t>MORYDIANE</t>
  </si>
  <si>
    <t>GOLDENBEACHGUINEE</t>
  </si>
  <si>
    <t>24KIMPEXSARLU</t>
  </si>
  <si>
    <t>ETSLAZOUCKRY</t>
  </si>
  <si>
    <t>AURUMSARLU</t>
  </si>
  <si>
    <t>OUSTANDINGGENERAL</t>
  </si>
  <si>
    <t>STE CASH GUINEE MINING SERVICES SARLU</t>
  </si>
  <si>
    <t>STE ID GOLD MINING SA</t>
  </si>
  <si>
    <t>STE GENTA GUINEA RESOURCES SA</t>
  </si>
  <si>
    <t>STE GROUPE FARABANA SA</t>
  </si>
  <si>
    <t>SOCIETE KABALABA MINING SARL</t>
  </si>
  <si>
    <t>STE GUINEA IRON AND METAL SARL</t>
  </si>
  <si>
    <t>SOC AMARIA HYDRAULIC et ELECTRICAL DEVELOPMENT CORPORATION SAUNIPERS</t>
  </si>
  <si>
    <t>STE PROSIS MINING GUINEE SARLU</t>
  </si>
  <si>
    <t>SOCIETE MOSY SARL</t>
  </si>
  <si>
    <t>GROUP NOTRE VISION-SARLUNIPERS</t>
  </si>
  <si>
    <t>STE SPECTRUM HOLDING LIMITED</t>
  </si>
  <si>
    <t>GENTA GUINEA RESSOURCES SA</t>
  </si>
  <si>
    <t>ENTREPRISE DAHER TRAVAUX PUBLICS MINES ET TRANSPORTS</t>
  </si>
  <si>
    <t>STE LENGUEE KOTO MINING SARLU</t>
  </si>
  <si>
    <t>STE GOLD WATER SARLU</t>
  </si>
  <si>
    <t>SOCIETE AFRICAINE D'ENVIRONNEMENT ET DE CONSTRUCTION</t>
  </si>
  <si>
    <t>SOCIETE DE TRANSPORT &amp; DISTRIBUTION DE PRODUITS PETROLIERS SARL</t>
  </si>
  <si>
    <t>SOCIETE SOUMAORO CONSTRUCTION - SA</t>
  </si>
  <si>
    <t>GUINEA COLIA MINING</t>
  </si>
  <si>
    <t>STE COMPAGNIE D'INVESTISSEMENT DES MINES CHINA MACHINERY KAIYUAN GUINEE SARLU</t>
  </si>
  <si>
    <t>STE ETECO MINING SARL</t>
  </si>
  <si>
    <t>STE MANQUEPAS AGRO MINING SARL</t>
  </si>
  <si>
    <t>Sarmin Bauxite Guinée SARLU</t>
  </si>
  <si>
    <t>STE ZHONG TIAN MINING GUINEE SARL</t>
  </si>
  <si>
    <t>STE WEIHENG MINING SARL</t>
  </si>
  <si>
    <t>NOVO MINES</t>
  </si>
  <si>
    <t>Socité Energy Guinea SARLU</t>
  </si>
  <si>
    <t>HANN et CIE</t>
  </si>
  <si>
    <t>SOGUIMEX</t>
  </si>
  <si>
    <t>LB</t>
  </si>
  <si>
    <t>KC BAUXITE</t>
  </si>
  <si>
    <t>STE SEKE GOLD MINING SA</t>
  </si>
  <si>
    <t>SOCIETE MAISON KEBO GUINEE SA</t>
  </si>
  <si>
    <t>STE GUINEENNE D'EXPLOITATION DE RESSOURCES MINIERES SARL</t>
  </si>
  <si>
    <t>SOCIETE DING SHENG SARL</t>
  </si>
  <si>
    <t>SOC. DE CONST. et D'INGENIERIE YAN GANG INTERNATIONAL ( GUINEE)</t>
  </si>
  <si>
    <t>SOCIETE PHOENIX PRECIOUS METALS SARL UNIP</t>
  </si>
  <si>
    <t>SOCIETE UNIVERSAL MINING SARLU</t>
  </si>
  <si>
    <t>SOCIETE SOUGUETA MINING COMPANY SA</t>
  </si>
  <si>
    <t>SOCIETE INTERNATIONAL D'EXPLOITATION DES CARRIERES-SA</t>
  </si>
  <si>
    <t>STE GUINEENNE D'AMENAGEMENT DE CONSTRUCTION ET DE MINE SARLU</t>
  </si>
  <si>
    <t>SOCIETE DE FORAGES ET DE TRAVAUX PUBLICS GUINEE SA</t>
  </si>
  <si>
    <t>STE KB GOLD SARLU</t>
  </si>
  <si>
    <t>SOCIETE BFG CONSULTING ET SERVICES SARL</t>
  </si>
  <si>
    <t>STE MINIERE FREEDOM TRADING CO LIMITED SARL</t>
  </si>
  <si>
    <t>STE 79TH LUSSO NORTH SARLU</t>
  </si>
  <si>
    <t>STE KEBO ENERGY SA</t>
  </si>
  <si>
    <t>TIFAMACORPORATION</t>
  </si>
  <si>
    <t>WESTAFRICA</t>
  </si>
  <si>
    <t>SOMIKA</t>
  </si>
  <si>
    <t>SOSIM</t>
  </si>
  <si>
    <t>BANKOMULTY</t>
  </si>
  <si>
    <t>PLANAFRICA</t>
  </si>
  <si>
    <t>AFRIGOLDGUINEE</t>
  </si>
  <si>
    <t>SARIKOUANDEBROTHE</t>
  </si>
  <si>
    <t>FIRSTGROUP</t>
  </si>
  <si>
    <t>BLUECIRCLE</t>
  </si>
  <si>
    <t>SARIKOUBROTHER</t>
  </si>
  <si>
    <t>BRONKEDOUSARLU</t>
  </si>
  <si>
    <t>GROUPARAY</t>
  </si>
  <si>
    <t>ABBTSARL</t>
  </si>
  <si>
    <t>CLC GROUP GUINEA</t>
  </si>
  <si>
    <t>STE LARIAND MINING SARLU</t>
  </si>
  <si>
    <t>MARKETLIONS</t>
  </si>
  <si>
    <t>STE DAVID DIAMANTS SARL</t>
  </si>
  <si>
    <t>SOCIETE VETRO GOLD SARLU</t>
  </si>
  <si>
    <t>STE SUPER MAN BUSINESS COMPANY SARLU</t>
  </si>
  <si>
    <t>STE WASSOLON MINING SARL</t>
  </si>
  <si>
    <t>SOCIETE DAVID DIAMANTS - SARL</t>
  </si>
  <si>
    <t>SOCIETE AKA MINING SARLU</t>
  </si>
  <si>
    <t>SAF Natural Ressources</t>
  </si>
  <si>
    <t>SOCIETE FIRST GOLD - SA</t>
  </si>
  <si>
    <t>GUINEA MINING TRADERS</t>
  </si>
  <si>
    <t>AFRICAN GLOBAL MINERALS</t>
  </si>
  <si>
    <t>SOCIETE AXIS BUSINESS MANAGEMENT ET GROUP SARL UNIP</t>
  </si>
  <si>
    <t>SUNVIEW</t>
  </si>
  <si>
    <t>STE GUINEE MINING &amp; TP SARL</t>
  </si>
  <si>
    <t>STE MINES AND RAILS CORPORATE SARLU</t>
  </si>
  <si>
    <t>AIS International Guinée SASU</t>
  </si>
  <si>
    <t>SOCIETE ALMOH SERVICES SARL</t>
  </si>
  <si>
    <t>STE GUINEO-MALIENNE D'OR SARL</t>
  </si>
  <si>
    <t>STE SANSADO GOLD FIELD SARLI</t>
  </si>
  <si>
    <t>FIRST METAL</t>
  </si>
  <si>
    <t>STE AFRIC INVEST MINING GUINEE SARLU</t>
  </si>
  <si>
    <t>BCRG</t>
  </si>
  <si>
    <t>STE GUINEA MINING AUDIT AND BLASTING SERVICES SARL</t>
  </si>
  <si>
    <t>SOCIETE MINING SERVICES SOLUTIONS SARL</t>
  </si>
  <si>
    <t>STE MINIERE DE DIOMA SARLU</t>
  </si>
  <si>
    <t>GUINEA UNIVERSAL MINING COMPANY SARLU</t>
  </si>
  <si>
    <t>CAMARA SHOLENDER</t>
  </si>
  <si>
    <t>GUINEA PIONEER MINING COMPANY SARLU</t>
  </si>
  <si>
    <t>STE GUINEENNE D'INGENIERIE ET DE PRESTATIONS MINIERES SARLU</t>
  </si>
  <si>
    <t>STE INTERNATIONAL TRADING BUSINESS SARLU</t>
  </si>
  <si>
    <t>STE LENA LIMITED SARL</t>
  </si>
  <si>
    <t>SOCIETE HUMMINGBIRD GUINEA MINING CORPORATION - SA</t>
  </si>
  <si>
    <t>CHINE 666 MINING LIMITED</t>
  </si>
  <si>
    <t>SOCIETE BENKADY GUINEE SARL</t>
  </si>
  <si>
    <t>STE ORISHA RESOURCES SARLU</t>
  </si>
  <si>
    <t>SOCIETE WINNING CONSORTIUM ALUMINA GUINEA SAU</t>
  </si>
  <si>
    <t>ENTREPRISE SAS GLOBAL BUSINESS SARLU</t>
  </si>
  <si>
    <t>STE SACKO INGENIERIE &amp; CONSTRUCTION SARLU</t>
  </si>
  <si>
    <t>COMPTOIRDIAMANT</t>
  </si>
  <si>
    <t>SOCIETE LT TECHNOLOGIES SARLU</t>
  </si>
  <si>
    <t>GUINEE-TIANFU</t>
  </si>
  <si>
    <t>STE DONGHONG INGINEERING INTERNATIONAL</t>
  </si>
  <si>
    <t>STE SIGUIRI GOLD GUINEE SAU</t>
  </si>
  <si>
    <t>MUSTAFASYLLA</t>
  </si>
  <si>
    <t>OSMAKOLEKSAN</t>
  </si>
  <si>
    <t>SOCIETE GROUPE FARABANA</t>
  </si>
  <si>
    <t>SOCIETE DE GRANITES D'INDUSTRIES ET DE COMMERCES SA</t>
  </si>
  <si>
    <t>MARINEX GROUP SARL</t>
  </si>
  <si>
    <t>SOCIETE AKI PETROLEUM GROUP SARL</t>
  </si>
  <si>
    <t>DOSSANTOS</t>
  </si>
  <si>
    <t>SANOHMORYFODE</t>
  </si>
  <si>
    <t>ASLANIANVIRHAIG</t>
  </si>
  <si>
    <t>STE BEL MINING 3K SARLU</t>
  </si>
  <si>
    <t>SHADIJAWAD</t>
  </si>
  <si>
    <t>SOCIETE A ET C SARL</t>
  </si>
  <si>
    <t>SOCIETE MAVCARD BAUXITE PROJECT SA</t>
  </si>
  <si>
    <t>ABOUBACARALIOUSOW</t>
  </si>
  <si>
    <t>MATOSPALMA</t>
  </si>
  <si>
    <t>AFIF</t>
  </si>
  <si>
    <t>YANGZHIGUANG</t>
  </si>
  <si>
    <t>STE SIRAMAMBA MINING SARLU</t>
  </si>
  <si>
    <t>AURUM SARLU</t>
  </si>
  <si>
    <t>STE BARRY CHERIF ENTREPRISE</t>
  </si>
  <si>
    <t>STE MOLI MINING EXPLORATION &amp; MINING SERVICES SARL</t>
  </si>
  <si>
    <t>AKM GUINEE</t>
  </si>
  <si>
    <t>KANTEX GUINEE SARLU</t>
  </si>
  <si>
    <t>STE BENKADY GUINEE SARL</t>
  </si>
  <si>
    <t>STE AFRICAN GLOBAL MINERALS SARLU</t>
  </si>
  <si>
    <t>STE SACOL CONSTRUCTION SARL</t>
  </si>
  <si>
    <t>STE SUNREEF RESOURCES SARLU</t>
  </si>
  <si>
    <t>SOCIETE LONG XI INTERNATIONAL SARL</t>
  </si>
  <si>
    <t>STE OFFICE MA SARLU</t>
  </si>
  <si>
    <t>SOCIETE DUBREKA INTERNATIONAL MINING GUINEA</t>
  </si>
  <si>
    <t>STE TAMONY MINING SERVICES SARLU</t>
  </si>
  <si>
    <t>SOCIETE K C BAUXITE SARLU</t>
  </si>
  <si>
    <t>SUKHIYAANILHDMAR</t>
  </si>
  <si>
    <t>NABEMOHAMED</t>
  </si>
  <si>
    <t>SAGARMAHESHKUMAR</t>
  </si>
  <si>
    <t>RASABAYA</t>
  </si>
  <si>
    <t>STE RRMS MINING LTD</t>
  </si>
  <si>
    <t>ARAY GOLD</t>
  </si>
  <si>
    <t>SILVER VALLEY INTERNATIONAL SA</t>
  </si>
  <si>
    <t>SOCIETE MOLI MINING EXPLORATION ET MINING</t>
  </si>
  <si>
    <t>SOCIETE M-BUSINESS - SARL</t>
  </si>
  <si>
    <t>SOCIETE MINERALIS BAUXITE MINES</t>
  </si>
  <si>
    <t>MINERALFIELDS GUINEA</t>
  </si>
  <si>
    <t>COMPAGNIEINTERNATIONALE CHINE QINGDAO SARL</t>
  </si>
  <si>
    <t>AFRICA HYDRAULICS SOLUTIONS AND SERVICES - SARL</t>
  </si>
  <si>
    <t>STE QUALITY CONSTRUCTION AND MINING SERVICES SARL</t>
  </si>
  <si>
    <t>NA Global Realty Investment LTD SUCC</t>
  </si>
  <si>
    <t>Hydromin Sénégal SA</t>
  </si>
  <si>
    <t>Kanfing Mining SAS</t>
  </si>
  <si>
    <t>SOCIETE CHINO-AFRICA INTERNATIONAL SARLU</t>
  </si>
  <si>
    <t>SOCIETE ZHONG JIANG SARL</t>
  </si>
  <si>
    <t>SOCIETE JIANGYAN MINE SARLUNIPERS</t>
  </si>
  <si>
    <t>STE MADARON GOLD GUINEE SARL</t>
  </si>
  <si>
    <t>STE PLAN AFRICA HOLDING GUINEA SARL</t>
  </si>
  <si>
    <t>GGM - SARL</t>
  </si>
  <si>
    <t>STE YAM'S MINING SA</t>
  </si>
  <si>
    <t>SOCIETE GUINEENNE D'EQUIPEMENTS et DE COMMERCE -BOURE- SARLU</t>
  </si>
  <si>
    <t>SOULEYMANE</t>
  </si>
  <si>
    <t>TRAOREDRAMANE</t>
  </si>
  <si>
    <t>TOGOLAMOUSSA</t>
  </si>
  <si>
    <t>ZHANGTIEJUN</t>
  </si>
  <si>
    <t>TIDIANEKOITA</t>
  </si>
  <si>
    <t>BILLOKALLE</t>
  </si>
  <si>
    <t>MAMADICONDE</t>
  </si>
  <si>
    <t>ASAREBENJAMIN</t>
  </si>
  <si>
    <t>CHARLESBANGOURA</t>
  </si>
  <si>
    <t>SIDIMESARIKOU</t>
  </si>
  <si>
    <t>MORESANTOSHSADASH</t>
  </si>
  <si>
    <t>IDNANILALCHANO</t>
  </si>
  <si>
    <t>MOUSSADOUMBOUYA</t>
  </si>
  <si>
    <t>AMARACAMARA</t>
  </si>
  <si>
    <t>CISSEANSOUMANE</t>
  </si>
  <si>
    <t>FOFANABABA</t>
  </si>
  <si>
    <t>NARESHSINDE</t>
  </si>
  <si>
    <t>SINGLETONSIMON</t>
  </si>
  <si>
    <t>CISSESEKOU</t>
  </si>
  <si>
    <t>IBRAHIMAKALILFOFA</t>
  </si>
  <si>
    <t>ALDRINAPOSTOL</t>
  </si>
  <si>
    <t>JIKINEHBAILO</t>
  </si>
  <si>
    <t>BAIYONGHAI</t>
  </si>
  <si>
    <t>KARABANALIAKSANDR</t>
  </si>
  <si>
    <t>ABDOULAYEDOUMBOUY</t>
  </si>
  <si>
    <t>MOHAMEDDJIKINE</t>
  </si>
  <si>
    <t>ALKHALYMOHAMADOMA</t>
  </si>
  <si>
    <t>MARIMUTHUSINNA</t>
  </si>
  <si>
    <t>OUMOUDIAWARA</t>
  </si>
  <si>
    <t>GAJERAANKIT</t>
  </si>
  <si>
    <t>PAYEFTABINTOU</t>
  </si>
  <si>
    <t>SIMACO</t>
  </si>
  <si>
    <t>BARCLAYROB</t>
  </si>
  <si>
    <t>SKINNERGEORGE</t>
  </si>
  <si>
    <t>POKRAJACKALEN</t>
  </si>
  <si>
    <t>IBRAHIMADIALLO</t>
  </si>
  <si>
    <t>BARRYIBRAHIMAISSI</t>
  </si>
  <si>
    <t>IBRAHIMCAMARA</t>
  </si>
  <si>
    <t>DIABYABDOULKARIM</t>
  </si>
  <si>
    <t>ISMAELABOUBACAR</t>
  </si>
  <si>
    <t>DIALLOAISSATOUTIF</t>
  </si>
  <si>
    <t>ELHMAMADIKOITA</t>
  </si>
  <si>
    <t>ABDOULAYEYERODIAL</t>
  </si>
  <si>
    <t>KAPURIYABHAVIN</t>
  </si>
  <si>
    <t>ROKIATOUKABA</t>
  </si>
  <si>
    <t>KARPOVICHLEANID</t>
  </si>
  <si>
    <t>DIANEKADIATOU</t>
  </si>
  <si>
    <t>KEITAMOHAMEDBINET</t>
  </si>
  <si>
    <t>KINDOADAMA</t>
  </si>
  <si>
    <t>FANTADIABY</t>
  </si>
  <si>
    <t>DIARRADAOUDA</t>
  </si>
  <si>
    <t>ABDULUNAMMOHAMED</t>
  </si>
  <si>
    <t>SEKOUMBAHKOITA</t>
  </si>
  <si>
    <t>MAMADIDIANE</t>
  </si>
  <si>
    <t>BHATIMADHO</t>
  </si>
  <si>
    <t>CAMARACATHERINE</t>
  </si>
  <si>
    <t>HAIDARAMOULAYE</t>
  </si>
  <si>
    <t>FREIREMALHO</t>
  </si>
  <si>
    <t>SHANGZHIHUA</t>
  </si>
  <si>
    <t>SIDIKIBAKABA</t>
  </si>
  <si>
    <t>HAIDARAMOHAMED</t>
  </si>
  <si>
    <t>STE PEAK GUINEA SARL</t>
  </si>
  <si>
    <t>BESA GUINEA</t>
  </si>
  <si>
    <t>STE GUINEE RESSOURCES MINIERES (GRM) SARL</t>
  </si>
  <si>
    <t>MRM METAL TRADE GUINEE</t>
  </si>
  <si>
    <t>KONDEN MINERALS - SARL</t>
  </si>
  <si>
    <t>GROUPE LIMANAYA BUSINESS</t>
  </si>
  <si>
    <t>ERIC NANTONG SUPPLY CHAIN MANAGEMENT</t>
  </si>
  <si>
    <t>ORBEXFALCDJIKINE</t>
  </si>
  <si>
    <t>VETRO GUINEA RESSOURCES SA</t>
  </si>
  <si>
    <t>SOCIETE HONGXING MINING GUINEE SARL</t>
  </si>
  <si>
    <t>SOCIETE MAVCARD IRON PROJECT SARLUNIP</t>
  </si>
  <si>
    <t>SYLLAOUSMANE</t>
  </si>
  <si>
    <t>HAWABAH</t>
  </si>
  <si>
    <t>AMARAMAGASSOUBA</t>
  </si>
  <si>
    <t>CONDESORY</t>
  </si>
  <si>
    <t>ABOUBACARSOW</t>
  </si>
  <si>
    <t>DRAMELAMINE</t>
  </si>
  <si>
    <t>MOHAMEDSALIOUSOW</t>
  </si>
  <si>
    <t>CHERIFMOHAMAED</t>
  </si>
  <si>
    <t>CISSEMOHAMED</t>
  </si>
  <si>
    <t>MOUSSATOUNKARA</t>
  </si>
  <si>
    <t>HABIBSOW</t>
  </si>
  <si>
    <t>ABDALLAHMOHAMED</t>
  </si>
  <si>
    <t>AHMEDDIABATE</t>
  </si>
  <si>
    <t>MOHAMEDCISSE</t>
  </si>
  <si>
    <t>ELHMOUSSADIAWARA</t>
  </si>
  <si>
    <t>HASSANDAYEK</t>
  </si>
  <si>
    <t>ELHADJMOHAMEDCISS</t>
  </si>
  <si>
    <t>DIALLOCIRE</t>
  </si>
  <si>
    <t xml:space="preserve">KEBO TECNOVIA GUINEE-SA            </t>
  </si>
  <si>
    <t>TRANSNATIONAL INVESTMENT</t>
  </si>
  <si>
    <t>STE FUTUR RESSOURCES SARLU</t>
  </si>
  <si>
    <t>GOLDEN BEACH</t>
  </si>
  <si>
    <t>SOCIETE MINEROSTRAT CORPORATION SA</t>
  </si>
  <si>
    <t>MOHAMEDBANGOURA</t>
  </si>
  <si>
    <t>EDOUARDKOUNDOUNO</t>
  </si>
  <si>
    <t>DJAKAYAOVISEK</t>
  </si>
  <si>
    <t>ALPHAPROJECT</t>
  </si>
  <si>
    <t>LA SOCIETE DE RECHERCHE D'EXPLOITATION MINIERE DE GUINEE</t>
  </si>
  <si>
    <t>STE HYPRO MINING SARL</t>
  </si>
  <si>
    <t>DUKIA GOLD</t>
  </si>
  <si>
    <t>MINING SOLUTION HOLDING</t>
  </si>
  <si>
    <t>ESAM</t>
  </si>
  <si>
    <t>ORBEXARAYFALC</t>
  </si>
  <si>
    <t>ATRANS</t>
  </si>
  <si>
    <t xml:space="preserve">SOCIETE MACI MINING -SARL          </t>
  </si>
  <si>
    <t>GUINEE CONSOLIDATION MINNING</t>
  </si>
  <si>
    <t>ARA EXPLORATION</t>
  </si>
  <si>
    <t>GASSIMOUSYLLA</t>
  </si>
  <si>
    <t>MOUCTARNIMAGA</t>
  </si>
  <si>
    <t>ALYCISSOKO</t>
  </si>
  <si>
    <t>SOCIETE SILVER VALLEY INTERNATIONAL SA</t>
  </si>
  <si>
    <t>AL NOUJOUM GOLD &amp; DIAMOND</t>
  </si>
  <si>
    <t>FATOUMATASOW</t>
  </si>
  <si>
    <t>MORIBAYO</t>
  </si>
  <si>
    <t>MAMADOUTOURE</t>
  </si>
  <si>
    <t>MMMT GUINEE CNY GROUPE</t>
  </si>
  <si>
    <t>KABAALHASSAN</t>
  </si>
  <si>
    <t>ANETOUNKARA</t>
  </si>
  <si>
    <t>MAMADICISSE</t>
  </si>
  <si>
    <t>BOUBACARSOW</t>
  </si>
  <si>
    <t>ELALHASSANECISSE</t>
  </si>
  <si>
    <t>AHMADOUBAH</t>
  </si>
  <si>
    <t>UNITED MINING SUPPLY</t>
  </si>
  <si>
    <t>ST</t>
  </si>
  <si>
    <t>Sous-traitans miniers</t>
  </si>
  <si>
    <t>SOCIETE WINNING ALLIANCE PORTS SA</t>
  </si>
  <si>
    <t>MINES EQUIPEMENTS ET SERVICES SARL (MES) ATIKO GUINEE</t>
  </si>
  <si>
    <t>MOOLMAN MINING GUINEA</t>
  </si>
  <si>
    <t>NITROKEMFOR GUINEE</t>
  </si>
  <si>
    <t>ORE SEARCH DRILLING GUINEE SARL</t>
  </si>
  <si>
    <t>SGS MINERAL SERVICE GUINEE-SARL</t>
  </si>
  <si>
    <t>GEOPROSPECTS LIMITED SUCCURSALE GUINEE</t>
  </si>
  <si>
    <t>SOCIETE EQUIPEMENTS ET SERVICES SANGAREDI SARL</t>
  </si>
  <si>
    <t>SOC. DRAGON CITY INTERN. INVESTMENT COMPANY SARLUNIPERS</t>
  </si>
  <si>
    <t>RUSSKY ALUMINY LTD</t>
  </si>
  <si>
    <t>SOCIETE AECI GUINEE</t>
  </si>
  <si>
    <t>ORE SEARCH GROUP - SARLU</t>
  </si>
  <si>
    <t>SOC AFRICAINE DE GEO TECHNIQUE TECHNOLOGIE et SERVICES EN GUINEE SARLU</t>
  </si>
  <si>
    <t>TOUMNYNE SARL</t>
  </si>
  <si>
    <t>SOCIETE ABEILLE GROUPE-SAG</t>
  </si>
  <si>
    <t>RESEARCH TRIANGLE INSTITUT INTERNATIONAL</t>
  </si>
  <si>
    <t>RAFIN SIRE SANGARE ( TRANSPORT TERRASSEMENT MINIER )</t>
  </si>
  <si>
    <t>SOCIETE WEST AFRICA PROTECTION - SARLUNIP</t>
  </si>
  <si>
    <t>TAKRAF GUINEA BRANCH CBG SUCC</t>
  </si>
  <si>
    <t>CHAMBRE DES MINES DE GUINEE</t>
  </si>
  <si>
    <t>SOCIETE HARMONY SERVICES GUINEE - SARL</t>
  </si>
  <si>
    <t>SOCIETE UNIE RUSAL D'ENTRETIEN ET MAINTENANCE EN GUINEE S.A</t>
  </si>
  <si>
    <t>SOCIETE GEOLOGIE MINIERE SARL UNIP</t>
  </si>
  <si>
    <t>GENERAL D'ENTREPRISE DES FOURNITURES D'EQUIPEMENTS ET DE CONSTRUCTION</t>
  </si>
  <si>
    <t>ENTREPRISE ENTRETIEN LABO</t>
  </si>
  <si>
    <t xml:space="preserve">SOCIETE FLUOR GUINEA.INC SUCC      </t>
  </si>
  <si>
    <t>SOCIETE MARKET BIS GOLD-SARL</t>
  </si>
  <si>
    <t>Diamant</t>
  </si>
  <si>
    <t>Comptoir d'or et diamant</t>
  </si>
  <si>
    <t>IDC</t>
  </si>
  <si>
    <t>SOCIETE OBAMA GUINEE INTERNATIONAL</t>
  </si>
  <si>
    <t>Or</t>
  </si>
  <si>
    <t>DJIKINE GOLD</t>
  </si>
  <si>
    <t>ETABLISSEMENTS DANTA COMMERCE</t>
  </si>
  <si>
    <t>ETABLISSEMENTS OUMAR DIALLO</t>
  </si>
  <si>
    <t>FELLA SANDANFARA</t>
  </si>
  <si>
    <t>FALCON</t>
  </si>
  <si>
    <t>WEST AFRICA GOLD</t>
  </si>
  <si>
    <t>FRAISCOMPTOIROR</t>
  </si>
  <si>
    <t>SOCIETE MANAGUINEE SA</t>
  </si>
  <si>
    <t>ORBIT - SARL</t>
  </si>
  <si>
    <t>NOUGA</t>
  </si>
  <si>
    <t>SOC SUMEC COMPLETE EQUIPMENT ET ENGINEERING CO LTD SUCCRSALE</t>
  </si>
  <si>
    <t>DANTA INTERNATIONAL SARLUNIP</t>
  </si>
  <si>
    <t>GUINEE OR SARLU</t>
  </si>
  <si>
    <t>GANZHONG INTERNATIONAL MINING GUINEA CO SARL</t>
  </si>
  <si>
    <t>SOCIETE DAHAB GUINEE SARL UNIPERS</t>
  </si>
  <si>
    <t>PURE BULLION LIMITED</t>
  </si>
  <si>
    <t>NIRON GUINEE</t>
  </si>
  <si>
    <t>ETS SOSIM</t>
  </si>
  <si>
    <t>ONIX INTERNATIONAL</t>
  </si>
  <si>
    <t>AMIWAGOLD</t>
  </si>
  <si>
    <t>SOCIETE GUINEE MINING ET TP SARL</t>
  </si>
  <si>
    <t>ETABLISSEMENTS MARIAMA DALANDA BARRY</t>
  </si>
  <si>
    <t>SERGERIVIERE</t>
  </si>
  <si>
    <t>SOC HAMANA IMPORT EXPORT SARL</t>
  </si>
  <si>
    <t>LANSANADIANE</t>
  </si>
  <si>
    <t>ALPHA OUMAR DIALLO  /  ENTRACO</t>
  </si>
  <si>
    <t>MOHAMEDHASSANELOM</t>
  </si>
  <si>
    <t>HARVEST INVESTMENT</t>
  </si>
  <si>
    <t>Société Nationale du Pétrole (SONAP)</t>
  </si>
  <si>
    <t>Hydrocarbures</t>
  </si>
  <si>
    <t>Secteur des hydrocarbures</t>
  </si>
  <si>
    <t xml:space="preserve">Consortium SMB-WINNING </t>
  </si>
  <si>
    <t>Transport des minerais</t>
  </si>
  <si>
    <t>Secteur du transport</t>
  </si>
  <si>
    <t xml:space="preserve">Winning Consortium Simandou Rail </t>
  </si>
  <si>
    <t xml:space="preserve">Actionnaire </t>
  </si>
  <si>
    <t>% Participation</t>
  </si>
  <si>
    <t>SOGUIPAMI</t>
  </si>
  <si>
    <t>EP</t>
  </si>
  <si>
    <t>WINNING LOGISTIC AFRICA COMPANY LIMITED</t>
  </si>
  <si>
    <t>SUN XIUSHUN</t>
  </si>
  <si>
    <t>PASSPORT N°E3755994D</t>
  </si>
  <si>
    <t>Nationalité : SINGAPOURE</t>
  </si>
  <si>
    <t>Date de naissance : 14-10-1964</t>
  </si>
  <si>
    <t>UNITED MINING SUPPLIERS INTERNATIONAL LTD</t>
  </si>
  <si>
    <t>FADI YOUSSEF WAZNI</t>
  </si>
  <si>
    <t>Pays de résidence : GUINEE</t>
  </si>
  <si>
    <t>Immeuble Wanzi, corniche Est, Tombo</t>
  </si>
  <si>
    <t>Shandong WeiqiaoAluminum et Electricity</t>
  </si>
  <si>
    <t>Société Cotéé/CSE</t>
  </si>
  <si>
    <t>Participation publique (Etat -Puissance publique)</t>
  </si>
  <si>
    <t>N/A</t>
  </si>
  <si>
    <t>ALCOA</t>
  </si>
  <si>
    <t>RIO TINTO ALCAN</t>
  </si>
  <si>
    <t>DADCO</t>
  </si>
  <si>
    <t>DELTA GOLD MINING LTD</t>
  </si>
  <si>
    <t>GUINEE</t>
  </si>
  <si>
    <t>République de Guinée</t>
  </si>
  <si>
    <t xml:space="preserve">MIFERGUI </t>
  </si>
  <si>
    <t xml:space="preserve">ETAT GUINEEN &amp; D'autres partenaires </t>
  </si>
  <si>
    <t>EURONIMBA</t>
  </si>
  <si>
    <t>Etat-République de Guinée</t>
  </si>
  <si>
    <t>Etat-Puissance publique</t>
  </si>
  <si>
    <t>AMCL</t>
  </si>
  <si>
    <t>Entreprises extractives</t>
  </si>
  <si>
    <t>Analyse de fiabilité</t>
  </si>
  <si>
    <t>Formulaire de déclaration (Excel)</t>
  </si>
  <si>
    <t>Signé par le Management</t>
  </si>
  <si>
    <t>Certifié par un auditeur</t>
  </si>
  <si>
    <t>Electronique / Physique</t>
  </si>
  <si>
    <t>EF 2021 certifiés par un CAC</t>
  </si>
  <si>
    <t>Rapport d'audit ou Lettre d'affirmation du CAC envoyé</t>
  </si>
  <si>
    <t>Fiabilité globale</t>
  </si>
  <si>
    <t>Oui</t>
  </si>
  <si>
    <t>Non</t>
  </si>
  <si>
    <t>Faible</t>
  </si>
  <si>
    <t>E</t>
  </si>
  <si>
    <t>Rapport d'audit</t>
  </si>
  <si>
    <t>Elévée</t>
  </si>
  <si>
    <t>COMPAGNIE DU DEVELOPPEMENT DES MINES INTERNATIONALES HENAN CHINE SA</t>
  </si>
  <si>
    <t>Entités publiques</t>
  </si>
  <si>
    <t xml:space="preserve">Signé </t>
  </si>
  <si>
    <t>Certifié par un CAC</t>
  </si>
  <si>
    <t>Certifié par la Cour des Comptes</t>
  </si>
  <si>
    <t>Direction Générale des Impôts (DGI)</t>
  </si>
  <si>
    <t>N/a</t>
  </si>
  <si>
    <t>Direction Générale des Douanes (DGD)</t>
  </si>
  <si>
    <t>Direction Générale du Trésor et de Comptabilité Publique (DGTCP)</t>
  </si>
  <si>
    <t>Centre de Promotion et de Développement Miniers (CPDM)</t>
  </si>
  <si>
    <t>Bureau National d'Expertise (BNE)</t>
  </si>
  <si>
    <t>Banque Centrale de la République de Guinée (BCRG)</t>
  </si>
  <si>
    <t>Direction Nationale des Mines (DNM)</t>
  </si>
  <si>
    <t>Fonds d'Investissement Minier (FIM)</t>
  </si>
  <si>
    <t>Office National de Formation et du Perfectionnement Professionnels (ONFPP)</t>
  </si>
  <si>
    <t>Collectivités locales / Préfectures</t>
  </si>
  <si>
    <t>En partie</t>
  </si>
  <si>
    <t>Caisse Nationale de Sécurité Sociale (CNSS)</t>
  </si>
  <si>
    <t>Agence Nationale de Financement des Collectivités Locales (ANAFIC).</t>
  </si>
  <si>
    <t>Ministère de l’Environnement et du développement durable</t>
  </si>
  <si>
    <t>Société Guinéenne du Patrimoine Minier SA (SOGUIPAMI)</t>
  </si>
  <si>
    <t>Société Nationale des Pétroles (SONAP)</t>
  </si>
  <si>
    <t>Agence Nationale d'Aménagement des Infrastructures Minières (ANAIM)</t>
  </si>
  <si>
    <t xml:space="preserve">Annexe 5 – Effectif des employés  </t>
  </si>
  <si>
    <t>Effectif 2021</t>
  </si>
  <si>
    <t>Genre</t>
  </si>
  <si>
    <t>Statut</t>
  </si>
  <si>
    <t>Niveau</t>
  </si>
  <si>
    <t>Nationalité</t>
  </si>
  <si>
    <t>Masse salariale en milliards GNF</t>
  </si>
  <si>
    <t>Guinéens</t>
  </si>
  <si>
    <t>Etrangers</t>
  </si>
  <si>
    <t>Hommes</t>
  </si>
  <si>
    <t>Permanents</t>
  </si>
  <si>
    <t>Cadres supérieurs</t>
  </si>
  <si>
    <t>Techniciens supérieurs et cadres moyens</t>
  </si>
  <si>
    <t>Techniciens, agents de maitrise et ouvriers qualifiés</t>
  </si>
  <si>
    <t xml:space="preserve">Employés, ouvriers, apprentis </t>
  </si>
  <si>
    <t xml:space="preserve">Hommes </t>
  </si>
  <si>
    <t>Contratuels</t>
  </si>
  <si>
    <t>/</t>
  </si>
  <si>
    <t>Femmes</t>
  </si>
  <si>
    <t>Cadres supérieures</t>
  </si>
  <si>
    <t>techniciennes supérieures et cadres moyens</t>
  </si>
  <si>
    <t>Techniciennes, agents de maitrise et ouvrières qualifiées</t>
  </si>
  <si>
    <t xml:space="preserve">Employées, ouvrières, apprenties </t>
  </si>
  <si>
    <t>Néant</t>
  </si>
  <si>
    <t>4 615 850 Usd</t>
  </si>
  <si>
    <t>Cotractuels</t>
  </si>
  <si>
    <t>Identité du Bénéficiaire (Nom, fonction)</t>
  </si>
  <si>
    <t>Région du bénéficiaire</t>
  </si>
  <si>
    <t>Date</t>
  </si>
  <si>
    <t>Description</t>
  </si>
  <si>
    <t>Paiements en numéraires</t>
  </si>
  <si>
    <t>Paiements en nature (sous forme de projet)</t>
  </si>
  <si>
    <t>Ref juridique / contractuelle</t>
  </si>
  <si>
    <t>Montant</t>
  </si>
  <si>
    <t>Coût du Projet encouru durant 2021</t>
  </si>
  <si>
    <t>CAGF</t>
  </si>
  <si>
    <t>BOKE</t>
  </si>
  <si>
    <t>Contribution FODEL</t>
  </si>
  <si>
    <t xml:space="preserve">Article 130 du Code minier  </t>
  </si>
  <si>
    <t>Hôpital ANAIM</t>
  </si>
  <si>
    <t>Boké</t>
  </si>
  <si>
    <t>Avance salaire Hôpital ANAIM</t>
  </si>
  <si>
    <t>FODEL Siguiri</t>
  </si>
  <si>
    <t>FODEL Dinguiraye</t>
  </si>
  <si>
    <t>FODEL  KINDIA</t>
  </si>
  <si>
    <t>KINDIA</t>
  </si>
  <si>
    <t>CONTRIBUTION AU DEVELOPPEMENT COMMUNAUTAIRE</t>
  </si>
  <si>
    <t>Total</t>
  </si>
  <si>
    <t xml:space="preserve"> Montant</t>
  </si>
  <si>
    <t>Coût du Projet encouru durant 2018</t>
  </si>
  <si>
    <t>Communauté locale</t>
  </si>
  <si>
    <t>1166 CARGO COMPASS SPA FACTURE FINALE EMMISSION DOCUMENTS</t>
  </si>
  <si>
    <t>04/01 FOOT ELITE BUDGET FOND SMB-WINNING OCT-DEC 2020</t>
  </si>
  <si>
    <t>05/01 COMPAGNIE THEATRE BOUCHE D'AIR FOND SMB-WINNING BUDGET</t>
  </si>
  <si>
    <t>06/01 CONSERVATION  CHIMPANZES FOND SMB-WINNING BUDGET 2020</t>
  </si>
  <si>
    <t>MMG</t>
  </si>
  <si>
    <t xml:space="preserve">Conakry </t>
  </si>
  <si>
    <t>20208060/ISMGGB/DG MINES-GEOGIE 100 000$ BATIMENT ADMNISTRAT</t>
  </si>
  <si>
    <t>268CB2101-09 FRAIS DE REPARATION D'UN FORAGE</t>
  </si>
  <si>
    <t>268CB2101-10 REPARATION PUITS ET PLATE FORME</t>
  </si>
  <si>
    <t>268CB2101-11 FRAIS INVITE INVENTAIRE ARBRE SACREE PORT 2</t>
  </si>
  <si>
    <t>268CB2101-13 PRIME DEVELOPPEM PACIFIQUE ET TRIMESTRE</t>
  </si>
  <si>
    <t>268CB2101-14 FRAIS CADEAU POUR LE PREFET</t>
  </si>
  <si>
    <t>268CB2101-15 FRAIS REPARATION 2 MACHINES</t>
  </si>
  <si>
    <t>268CB2101-16 ACHAT 1 SAC DE RIZ</t>
  </si>
  <si>
    <t>268CB2101-30 FRAIS LOCATION  2 TENTES</t>
  </si>
  <si>
    <t>SMB 08-01/21 UMS 3 280 SACS RIZ PR 3086</t>
  </si>
  <si>
    <t>SMB 08-01/21 UMS TRSP SUR PLATEAUX ET TRM PR 3086</t>
  </si>
  <si>
    <t>CONSORTIUM ECOFOR 2021/01/21 7 FORAGE  0011/EC/02-21</t>
  </si>
  <si>
    <t>CONSORTIUM COMAB 2021-01-18 COOPERAT 01 120 TABLES</t>
  </si>
  <si>
    <t>01 DMS 40% REALISATION 3 PUITS AMELIORES CONTRAT SMS/CR/DRMK</t>
  </si>
  <si>
    <t>CCTP-2019-03-06 CONSTRUCT HANGAR-LATRINE MENSALIA INV004</t>
  </si>
  <si>
    <t>DOUMBOUYA 2021/01/28 4 PUITS AMELIORES  INV001</t>
  </si>
  <si>
    <t>268CB2102-17 FRAIS SACREFICE AUX DIEUX POUR COMMUNAUTE</t>
  </si>
  <si>
    <t>268CB2102-29 TRANSPORT POUR PREFET ET SUBVENT N49</t>
  </si>
  <si>
    <t>268CB2102-30 ASSISTANCE RIZ DECES PETIT FRERE PREFET</t>
  </si>
  <si>
    <t>268CB2102-31 ASSISTANCE 3 SACS RIZ DECES GENDARMES N24</t>
  </si>
  <si>
    <t>SMB ND 10-02/21 UMS ASSISTANCES DIVERSES PR 3146</t>
  </si>
  <si>
    <t>SMB ND 17-02/21 UMS ASSISTANCES DIVERSES PR 3167</t>
  </si>
  <si>
    <t>FONDATION SMB-WINNING/EXECUTION BUDGET FOOT4 CHANGE/  SERIGR</t>
  </si>
  <si>
    <t>01/AGRIKO/BOK/KOL/2021 REALISATION 5PUITS AMELIORES</t>
  </si>
  <si>
    <t>202103001 SUPER MARCHE HONGDA SARLU 6 648 SACS DU RIZ</t>
  </si>
  <si>
    <t>268CB2103-09 MISSION CHEMIN  DE FER ZHAING WEIGANG</t>
  </si>
  <si>
    <t>268CB2103-10 INVENTAIRE CHEMIN  DE FER ZHAING WEIGANG</t>
  </si>
  <si>
    <t>268CB2103-11 INVENTAIRE ET CEREMONIE COMPENSATION</t>
  </si>
  <si>
    <t>268CB2103-35 PAIEMENT PUITS AMELIORE POUR AMARAYA N202/3241</t>
  </si>
  <si>
    <t>268CB2103-36 FRAIS BOEUF NOIR SACREFICE KIAY INV31</t>
  </si>
  <si>
    <t>268CB2103-37 FRAIS SACS DE RIZ  SACREFICE KIAY INV19/24</t>
  </si>
  <si>
    <t>268CB2103-38 FRAIS SACREFICE VILLAGE KATOUNOU INV23</t>
  </si>
  <si>
    <t>268CB2103-39 PRIME AUTORITE POUR 20EM COMPENSATION AMR</t>
  </si>
  <si>
    <t>268CB2103-40 FRAIS TENTES/CHAISES 20EM COMPENSATION AMR</t>
  </si>
  <si>
    <t>268CB2103-41 2EME VACCIN DU BETAIL VETERINAIRE DE BOKE</t>
  </si>
  <si>
    <t>268CB2103-42 FRAIS BANDEROLE CHAMP ANANAS AMR 2021/471</t>
  </si>
  <si>
    <t>268CB2103-55 FRAIS DE MISSION MR ZHANG YA TELIMELE</t>
  </si>
  <si>
    <t>SMB ND 22-03/21 UMS FRAIS IMPORTATION EQUIP SPORTIF PR 3175</t>
  </si>
  <si>
    <t>SMB ND 28-03/21 UMS ASSISTANCES DIVERSES PR 3193</t>
  </si>
  <si>
    <t>DN202104-001 SMB PRIME DE PAIX 4Q2020 /COMMUNAUTE- MINE 124</t>
  </si>
  <si>
    <t>DN202104-001 SMB PRIME PAIX 4Q2020 /COMMUNAUTE- MINE 159-6</t>
  </si>
  <si>
    <t>DN202104-001 SMB PRIME PAIX 4Q2020 /COMMUNAUTE- MINE 159-4</t>
  </si>
  <si>
    <t>DN202104-001 SMB PRIME PAIX 4Q2020 /COMMUNAUTE- MINE 041</t>
  </si>
  <si>
    <t>202104017 SUPER MARCHE HONGDA SARLU 916 SACS RIZ</t>
  </si>
  <si>
    <t>202104018 SUPER MARCHE HONGDA SARLU 261 SACS RIZ</t>
  </si>
  <si>
    <t>202104019 SUPER MARCHE HONGDA SARLU 210 SACS RIZ</t>
  </si>
  <si>
    <t>202104020 SUPER MARCHE HONGDA SARLU 19 SACS RIZ</t>
  </si>
  <si>
    <t>202104024 SUPER MARCHE HONGDA SARLU 30 SACS DE RIZ</t>
  </si>
  <si>
    <t>202104023 SUPER MARCHE HONGDA SARLU 01 SACS DE RIZ</t>
  </si>
  <si>
    <t>42320 AMADOU OURY DIALLO ACHAT 42 BOEUFS POUR KABOYE-AMARAYA</t>
  </si>
  <si>
    <t>050 BAH ALPHA OUMAR ACHAT 16 BOEUFS POUR DARAMAGNAKI</t>
  </si>
  <si>
    <t>13 BAH ILIASSA ACHAT 24 BOEUFS POUR KOLABOUI</t>
  </si>
  <si>
    <t>42322 BAH MAMADOU ACHAT 22 BOEUFS POUR KINSILIN</t>
  </si>
  <si>
    <t>0514 DIALLO MAMADOU ACHAT 29 BOEUFS POUR GNAKAYA (MALAPOUYA)</t>
  </si>
  <si>
    <t>42321 HASSOUBA DIABY ACHAT 29 BOEUFS POUR TASSAYA-KOUNISSA</t>
  </si>
  <si>
    <t>050 BAH YOUMOUSA KOLABOUI ACHAT DE 30 BOEUFS</t>
  </si>
  <si>
    <t>01/AGRIKO/BOk/KOL/2021-3 PUITS KOLABOUI ET MALAPOUYA</t>
  </si>
  <si>
    <t>CRC003 PAIEMENT DE BOEUFS DE DAPILON</t>
  </si>
  <si>
    <t>26  AMADOU OURY DIALLO ACHAT DE 42 BOEUFS DABIS</t>
  </si>
  <si>
    <t>RC033 SOULEYMANE KOUNSI  11 BOEUFS SANTOU HOUDA</t>
  </si>
  <si>
    <t>01/FORAGE/BOK/KOL/2021 AVANCE FORAGES DEMBAYA</t>
  </si>
  <si>
    <t>CR0038 MAOUSSOUBA DIABY  2EME PAIEMENT DE 29 BOEUFS</t>
  </si>
  <si>
    <t>CRC006 DIALLO MAMADOU SALIOU 39 BOEUFS PROJET II CHEMIN DE F</t>
  </si>
  <si>
    <t>CRC012 BAH ILIASSA 24 BOEUFS POUR CHENAL</t>
  </si>
  <si>
    <t>CR007 MAMADOU BAH 22 BOEUFS POUR AMR-159</t>
  </si>
  <si>
    <t>CRC004 BAH ALPHA OUMAR 16 BOEUFS POUR PROJECTIII CHEMIN DE F</t>
  </si>
  <si>
    <t>CC2105002 FRAIS TELEPHONE SAMSUNG S9</t>
  </si>
  <si>
    <t>268CB2105-51 FRAIS MISSION GOUVERNORA BOKE INV46</t>
  </si>
  <si>
    <t>268CB2105-52 FRAIS FETE PAQUES GOUVERNORA BOKE INV48</t>
  </si>
  <si>
    <t>268CB2105-53 FRAIS VOYAGE PREFET BOKE INV37</t>
  </si>
  <si>
    <t>268CB2105-54 FRAIS TENTES CHAISES INV59</t>
  </si>
  <si>
    <t>268CB2105-55 FRAIS PRESENCE OFFICIELLES INV43</t>
  </si>
  <si>
    <t>268CB2105-56 FRAIS TENTES CHAISES INV35</t>
  </si>
  <si>
    <t>268CB2105-57 FRAIS PRESENCE OFFICIELLES INV17</t>
  </si>
  <si>
    <t>268CB2105-58 REMBOURSEMENT 2 EMPLOYES  INV37</t>
  </si>
  <si>
    <t>268CB2105-59 50% AVANCE HANGAR 01/AGRIKO/BOK/2021</t>
  </si>
  <si>
    <t>268CB2105-60 FRAIS TENTES CHAISES INV30/41</t>
  </si>
  <si>
    <t>SMB ND 37-05/21 UMS ASSISTANCES DIVERSES PR 3222</t>
  </si>
  <si>
    <t>SMB ND 46-06-21 UMS ASSISTANCE DIVERS PR 3245</t>
  </si>
  <si>
    <t>31 GBEMOU FRANCOIS REPARATION DE 10 FORAGES</t>
  </si>
  <si>
    <t>20210504 DOPAVOGUI GNAKOI NOTARY FEES</t>
  </si>
  <si>
    <t>02/AGRIKO/BOK/KOL/2021 HANGAR ET ENTRETIEN BUREA</t>
  </si>
  <si>
    <t>27 SOULEYMANE KOURSI BAH ACHAT 11 BOEUFS</t>
  </si>
  <si>
    <t>02/FORAGE/BOK/KOL/2021 HYDRAULIQUE 2 FORAGES</t>
  </si>
  <si>
    <t>31 ACHAT 30 BOEUFS 2EME BAH YOUNOUSSA</t>
  </si>
  <si>
    <t>CC2106-001 10 SACHETS DE RIZ POUR SMB INV2021043011</t>
  </si>
  <si>
    <t>CC2106-003 ASSISTANCE OBSEQUE INSPECTEUR TRAVAIL</t>
  </si>
  <si>
    <t>DN202106-001 ASSISTANCE PLAN COMMUNAUTAIRE 2021 MINE 124</t>
  </si>
  <si>
    <t>DN202106-001 ASSISTANCE PLAN COMMUNAUTAIRE 2021 MINE 159-6</t>
  </si>
  <si>
    <t>DN202106-001 ASSISTANCE PLAN COMMUNAUTAIRE 2021 MINE 159-4</t>
  </si>
  <si>
    <t>DN202106-001 ASSISTANCE PLAN COMMUNAUTAIRE 2021 MINE 041</t>
  </si>
  <si>
    <t>FOOT- PROJET FOOT 4 CHANGE JANVIER-FEVRIER ET MARS 2021</t>
  </si>
  <si>
    <t>FOOT- PROJET FOOT 4 CHANGE AVRIL-MAI ET JUIN 2021</t>
  </si>
  <si>
    <t>FOOT- PROJET FOOT 4 CHANGE JUILLET-AOUT ET SEPTEMBRE 2021</t>
  </si>
  <si>
    <t>6/07 IGT ASSISTANCE INSECTION GENERAL DE TRAVAIL</t>
  </si>
  <si>
    <t>2021/07/SANTOU AMR/REALISATION 7 FORRAGES/4 VILLAGES SANTOU</t>
  </si>
  <si>
    <t>2021/07/SANTOU AMR REALISATION 7 FORRAGES/3 VILLAGES AMR</t>
  </si>
  <si>
    <t>13 MAMADOU LAMARANA 202 MOUTONS</t>
  </si>
  <si>
    <t>15 SOW FATIMATOU 91 MOUTONS</t>
  </si>
  <si>
    <t>SMB WINNING-2021-07-01-SANTOU BAH SOULEYMANE 17 MOUTON</t>
  </si>
  <si>
    <t>SMB WINNING-2021-07-01-SANTOU AMADOU BAILO 17 MOUTONS</t>
  </si>
  <si>
    <t>14 MAMADOU LAMARANA 202 MOUTONS/2EME PAIMENT</t>
  </si>
  <si>
    <t>16 SOW FATIMATOU 91 MOUTONS/2EME PAIMENT</t>
  </si>
  <si>
    <t>12 ACHAT 17 MOUTONS FETE TABASKI</t>
  </si>
  <si>
    <t>17 BAH SOULEYMANE KOUNSY ACHAT 17 MOUTONS SANTO</t>
  </si>
  <si>
    <t>268CB2107-09 FRASI GENDARMES MISSION INV09/41</t>
  </si>
  <si>
    <t>268CB2107-10 FRASI DEPLACEMENT 4 JOURNALISTES INV4</t>
  </si>
  <si>
    <t>268CB2107-11 BANDEROLLE FETE RAMADAN INV49</t>
  </si>
  <si>
    <t>268CB2107-12 REBOISEMENT &amp; ACHAT ACAJOUX INV06</t>
  </si>
  <si>
    <t>268CB2107-13 PANNEAUX D'AFICHAGES INV20</t>
  </si>
  <si>
    <t>268CB2107-15 LOCATION GRUE INV02</t>
  </si>
  <si>
    <t>268CB2107-16 FRAIS LECTURE DU CORAN INV07</t>
  </si>
  <si>
    <t>268CB2107-18 FRAIS TEST COVID-19 INV001/2021</t>
  </si>
  <si>
    <t>268CB2107-19 FRAIS MISSION PREFET DE TELIMELE</t>
  </si>
  <si>
    <t>268CB2107-20 FRAIS BUREAU EDUCATIF PREFET</t>
  </si>
  <si>
    <t>268CB2107-21 FRAIS VOYAGE CHAUFFEUR COMM 21/6/21</t>
  </si>
  <si>
    <t>268CB2107-22 ACHAT 650 GRAINS D'ACAJOU INV05</t>
  </si>
  <si>
    <t>268CB2107-23 LOCATION TENTES INV34</t>
  </si>
  <si>
    <t>268CB2107-24 MISSION PREFECTURE INV42</t>
  </si>
  <si>
    <t>268CB2107-25 FRAIS TEST COVID-19 INV18</t>
  </si>
  <si>
    <t>268CB2107-29 FRAIS CEREMONIE INV38</t>
  </si>
  <si>
    <t>268CB2107-68 MISSION VOYAGE INV40</t>
  </si>
  <si>
    <t>268CB2107-69 MISSION GOUVERNEMENTALE INV39</t>
  </si>
  <si>
    <t>268CB2107-73 FRAIS VOYAGE ZHANG INV43</t>
  </si>
  <si>
    <t>2120511/2021 GIVOVA EQUIPMENTS/W SMB FONDATIO  FOOT CHANGE 4</t>
  </si>
  <si>
    <t>2120718/2021 GIVOVA EQUIPMENTS/W SMB FONDATIO  FOOT CHANGE 4</t>
  </si>
  <si>
    <t>2120720/2021 GIVOVA EQUIPMENTS/W SMB FONDATIO  FOOT CHANGE 4</t>
  </si>
  <si>
    <t>2120721/2021 GIVOVA EQUIPMENTS/W SMB FONDATIO  FOOT CHANGE 4</t>
  </si>
  <si>
    <t>2120722/2021 GIVOVA EQUIPMENTS/W SMB FONDATIO  FOOT CHANGE 4</t>
  </si>
  <si>
    <t>2120723/2021 GIVOVA EQUIPMENTS/W SMB FONDATIO  FOOT CHANGE 4</t>
  </si>
  <si>
    <t>2120724/2021 GIVOVA EQUIPMENTS/W SMB FONDATIO  FOOT CHANGE 4</t>
  </si>
  <si>
    <t>2120725/2021 GIVOVA EQUIPMENTS/W SMB FONDATIO  FOOT CHANGE 4</t>
  </si>
  <si>
    <t>2120726/2021 GIVOVA EQUIPMENTS/W SMB FONDATIO  FOOT CHANGE 4</t>
  </si>
  <si>
    <t>2120727/2021 GIVOVA EQUIPMENTS/W SMB FONDATIO  FOOT CHANGE 4</t>
  </si>
  <si>
    <t>2121057/2021 GIVOVA EQUIPMENTS/W SMB FONDATIO  FOOT CHANGE 4</t>
  </si>
  <si>
    <t>2121068/2021 GIVOVA EQUIPMENTS/W SMB FONDATIO  FOOT CHANGE 4</t>
  </si>
  <si>
    <t>2121070/2021 GIVOVA EQUIPMENTS/W SMB FONDATIO  FOOT CHANGE 4</t>
  </si>
  <si>
    <t>2121167/2021 GIVOVA EQUIPMENTS/W SMB FONDATIO  FOOT CHANGE 4</t>
  </si>
  <si>
    <t>117/07/2021 PAPTERIE ALLIANC MEUBLE DE BUREAU - DON POUR CDM</t>
  </si>
  <si>
    <t>007/REB/2021 CHAMBRE DES MINES GUINEE</t>
  </si>
  <si>
    <t>268CB2108-60 FRAIS CLOTURE DE FILET PLASTIQUE INV07</t>
  </si>
  <si>
    <t>268CB2108-61 FRAIS MISSION-CHAISES-TENTES INV06</t>
  </si>
  <si>
    <t>CC2108002 SALAIRE EMPLOYES LOCAUX PROJECT SERRE PRESIDENTIEL</t>
  </si>
  <si>
    <t>CC2108011 FRAIS DIVERS NOURRITURE INV13/19/10-32</t>
  </si>
  <si>
    <t>SMB ND 70-08/21 UMS ASSIST MENSUEM MEDIA JULY21 PR 3321</t>
  </si>
  <si>
    <t>DN202108-001 TOP MINING DEPENSES PLAN COMMUNAUTAIRE 2021</t>
  </si>
  <si>
    <t>8-002 TOP MINING PRIME PAIX 1Q2021 &amp; 2Q2021</t>
  </si>
  <si>
    <t>SMB ND 78-08/21 UMS ASSISTANCE DIVERSES PR 3341</t>
  </si>
  <si>
    <t>2127182/2021 GIVOVA SMB-WINNING EQUIPEMENT PROJET FOOT 4</t>
  </si>
  <si>
    <t xml:space="preserve"> CONTRAT 0014/ECOFOR/05-20 / RETENUE DE GANTIE 10%</t>
  </si>
  <si>
    <t>268CB2109-25 PRESENCE GOUVERNEMENT A TELIMELE INV03</t>
  </si>
  <si>
    <t>268CB2109-26 ACHAT 2 MOUTONS FETE TABASKI INV01</t>
  </si>
  <si>
    <t>268CB2109-58 CONDOLEANCES DECES EPOUSE PREFET BOKE</t>
  </si>
  <si>
    <t>268CB2109-59 TABLES ET CHAISES DU BUREAU INV7931</t>
  </si>
  <si>
    <t>268CB2109-62 INSTALLATION CABLES BURAEAU INV11/02</t>
  </si>
  <si>
    <t>268CB2109-83  2 MOUTONS KINDI DISTRICT INV14</t>
  </si>
  <si>
    <t>268CB2109-84  ACHAT GRAINS DE SEMANCES INV12</t>
  </si>
  <si>
    <t>268CB2109-87  ACHAT GRAINS DE SEMENCES INV22</t>
  </si>
  <si>
    <t>CC210914 PRIME -MISSION-ACHAT SERRE PRESIDENTIELLE</t>
  </si>
  <si>
    <t>SMB ND 84-09/21 UMS ASSISTANCES DIVERSES PR 3357</t>
  </si>
  <si>
    <t>SMB ND 85-09/21 UMS  3371 RIZ 25% INDIAN</t>
  </si>
  <si>
    <t>ADJ FOR GL 3903 /MATERIALS OF COVID-19 FOR DONATION</t>
  </si>
  <si>
    <t>########</t>
  </si>
  <si>
    <t>03/10 FONDATION SMB WINNING FOOT CHANGE4 SCOLARITE 2021</t>
  </si>
  <si>
    <t>05/10 FONDQTION SMB PROJECT FOOT-ETUDE FOOT CHANGE 4</t>
  </si>
  <si>
    <t>15 INSP FRAIS TEST PCR COVID-19 CRD</t>
  </si>
  <si>
    <t>03 APEK/SMB/PHASE 1/2021 PAIME 20% CTRAT APEK</t>
  </si>
  <si>
    <t>COMAB 2019-11-25 CONSTRUCTION DES HANGARS DANS 8 VILLAGES</t>
  </si>
  <si>
    <t>04042021 LIMANYA HYDO CONSTRUCTION PUITS AMILEORES</t>
  </si>
  <si>
    <t>FC-TP 2019-09-20 FADIYA CONSTRUCTION STP FC-TP QUATION GUARA</t>
  </si>
  <si>
    <t>268CB210-28 FRAIS VOYAGE SHEN INV35/06/26/03</t>
  </si>
  <si>
    <t>268CB210-29 FRAIS DISTRIBUTION COMPENSATION SANTOU INV33</t>
  </si>
  <si>
    <t>268CB210-30 FRAIS SACREFICE SANTOU INV34</t>
  </si>
  <si>
    <t>CC211001 FRAIS ALIMANTS BUREAU CONAKRY PROJECT SERRE INV14</t>
  </si>
  <si>
    <t>SMB ND 92-10/21 UMS ASSISTANCE DIVERSES PR 3383</t>
  </si>
  <si>
    <t>DN202110-001 TGM PRIME DE PAIX POUR 3Q2021</t>
  </si>
  <si>
    <t>754 AFRICAMY TRSP MATERIEL MEDICAL CONTAINER HUMANITAIRE</t>
  </si>
  <si>
    <t>090/FGT/2021 SPOSORING FGT ORGANISATION CHAMPIONAT NATIONAL</t>
  </si>
  <si>
    <t>FESTARD2021 COMPAGNIE THEATRE BOUCHE DFONDATION SMB-WINNING</t>
  </si>
  <si>
    <t>04 ENCOTRAP PAIMENET RETENUE DE GARANTIE 10%/RENV ECOLE</t>
  </si>
  <si>
    <t>268CB2111-47 ASSISTANCE DECES AMADOU TIDIANE DIA UGTG N17</t>
  </si>
  <si>
    <t>CC211108 FRAIS COMMUNICATION SERRE CKRY INV15</t>
  </si>
  <si>
    <t>WAP/043/SMB-2021 TELEPHONE RECHARGE CARDS DEC 2021 CRD</t>
  </si>
  <si>
    <t>04/12 EXCLUSIVA SARLU FONDATION SMB WINNING ASSIST FODELF</t>
  </si>
  <si>
    <t>007/APG-SMB/2021 APPROBATION COMPENSATION-</t>
  </si>
  <si>
    <t>04/BOK/2021 AMADOU CAMARA PRESTATION SERVICE RADIO-</t>
  </si>
  <si>
    <t>21/04/2021 MAITRE GNAKOI DOPAVOGUI-</t>
  </si>
  <si>
    <t>268CB2112-29 ASSISTANCE D'UN HOMME NOYE INV45</t>
  </si>
  <si>
    <t>268CB2112-30 COMPENSATION ACIDENT D'1 CHEVRE SANTOU N50</t>
  </si>
  <si>
    <t>268CB2112-31 COMPENSATION ACIDENT 2 CHEVRE SANTOU N49</t>
  </si>
  <si>
    <t>268CB2112-57 REPARATION MOSQUEE KARKOUBA INV07</t>
  </si>
  <si>
    <t>268CB2112-58 ACHAT PEPINIERE INV04</t>
  </si>
  <si>
    <t>268CB2112-59 LOCATION TENTES INV03</t>
  </si>
  <si>
    <t>268CB2112-60 PRIME MEMBRE CEDEAO NV08</t>
  </si>
  <si>
    <t>268CB2112-61 REPARATION DU COURANT  INV36</t>
  </si>
  <si>
    <t>CC211219 FRAIS POUR LE GROUPE SERRE A CONAKRY INV43</t>
  </si>
  <si>
    <t>268CB2112-86  FRAIS REPARATION FORAGE DABIS INV25</t>
  </si>
  <si>
    <t>268CB2112-87  FRAIS LOCATION PLAINE PROJECT AGRICOLE INV20</t>
  </si>
  <si>
    <t>268CB2112-89  ACHAT ENGRAIS CHIMIQUE INV09</t>
  </si>
  <si>
    <t>268CB2112-90  PRIME JOURNALIERS INV24/25</t>
  </si>
  <si>
    <t>268CB2112-91  PRIME JOURNALIERS NOV INV17/15</t>
  </si>
  <si>
    <t>268CB2112-92  PRIME JOURNALIERS DEC INV118</t>
  </si>
  <si>
    <t>268CB2112-93 FRAIS CONSTRUCTION SERRE CKRY INV124</t>
  </si>
  <si>
    <t>268CB2112-95  FRAIS DISTRIBUTION COMPENS SANTOU INV19</t>
  </si>
  <si>
    <t>268CB2112-56 SACREFICES COMPENSATION SANTOU INV06</t>
  </si>
  <si>
    <t>SMB ND 107-12/21 UMS SOUTIEN ANIGEM PR 3418</t>
  </si>
  <si>
    <t xml:space="preserve"> SMB ND 103-12/21 UMS ASSISTANCE DIVERSES PR 3405</t>
  </si>
  <si>
    <t>ENTREPRISE MAIGA &amp; FRERES</t>
  </si>
  <si>
    <t xml:space="preserve">Construction de la clôture du cimétière de Kassongony </t>
  </si>
  <si>
    <t>ENTREPRISE ECI BTP</t>
  </si>
  <si>
    <t>Consruction d'une école à Paragogo (sangaredi)</t>
  </si>
  <si>
    <t>ENTREPRISE KOUNTA CONSTRUCTION</t>
  </si>
  <si>
    <t>Achèvements de centre culturel de kamsar</t>
  </si>
  <si>
    <t>Travaux de finalisation de la mosquée de Bendougou kamsar</t>
  </si>
  <si>
    <t>ENTREPRISE ECMB</t>
  </si>
  <si>
    <t>Travaux de constructions de trois deferrisseurs à sangaredi</t>
  </si>
  <si>
    <t>ENTREPRISE GBALMA</t>
  </si>
  <si>
    <t>Consruction d'une école à Tanènè</t>
  </si>
  <si>
    <t>ENTREPRISE KAKE ET FRERES</t>
  </si>
  <si>
    <t>Travaux d'achèvement plus équipements et clôture siège Mairie de Gaoual</t>
  </si>
  <si>
    <t>EGTRAG</t>
  </si>
  <si>
    <t>Réalisation d'un forage à hamdalaye (sangarédi)</t>
  </si>
  <si>
    <t>GLOBAL I.M.A.K</t>
  </si>
  <si>
    <t>Construction de la clôture du cimétière du nouveau Hamdallaye (sangaredi)</t>
  </si>
  <si>
    <t>CECI-Guinée</t>
  </si>
  <si>
    <t>Demande de fonds pour la communauté de hamdalaye et fassaly</t>
  </si>
  <si>
    <t>GUINEE FORAGE</t>
  </si>
  <si>
    <t>Réalisation de 10 forages hydroliques impact pop projet MU</t>
  </si>
  <si>
    <t>Réalisation de deux forage à Fassaly Foutabhe et un forage à Cogon Lengue</t>
  </si>
  <si>
    <t>C I G</t>
  </si>
  <si>
    <t>Construction infrastructures site de réinstallation Hamdallaye et Fassaly ( Sangaredi)</t>
  </si>
  <si>
    <t>Entreprise Kassa Multi-Service</t>
  </si>
  <si>
    <t>Réalisation de quatres forages dans la prefectures de télimélé</t>
  </si>
  <si>
    <t>Construction d'une clôture à l'école primaire de Bakoutoubou CR (Sangarédi)</t>
  </si>
  <si>
    <t>VIMS-SARL</t>
  </si>
  <si>
    <t xml:space="preserve">Construction d'infrastructures communautaires à Gnangaba CR ( Sangaredi) </t>
  </si>
  <si>
    <t>DIOULDE MULTI-SERVICES</t>
  </si>
  <si>
    <t>Réalisation de quatres forages dans la région de sangaredi (Wendou M'bour,Horèbendja, Pèntou-barè)</t>
  </si>
  <si>
    <t>Construction et équipements d'une école à Parawi (sangaredi)</t>
  </si>
  <si>
    <t>ETS ABDALLAH</t>
  </si>
  <si>
    <t>Construction d'une école à Pathéa ( Bintimodia)</t>
  </si>
  <si>
    <t>ETABLISSEMENTS SAMBA MAIGA &amp; FRERES</t>
  </si>
  <si>
    <t>Construction et équipements poste de santé avec système solaire à Parawi Sangaredi</t>
  </si>
  <si>
    <t>Prefecture de LOLA-CRD &amp; Villages</t>
  </si>
  <si>
    <t>LOLA</t>
  </si>
  <si>
    <t>CCLM Support</t>
  </si>
  <si>
    <t>Education - Classrooms and school sup</t>
  </si>
  <si>
    <t>Education - Literacy</t>
  </si>
  <si>
    <t>Education - Programs in school / yth grp</t>
  </si>
  <si>
    <t>Education - Schools supplies and awards</t>
  </si>
  <si>
    <t>Environment - Fire prevention campaign</t>
  </si>
  <si>
    <t>Environment - Support to CEGENS</t>
  </si>
  <si>
    <t>Health - Anti AIDS and STDs</t>
  </si>
  <si>
    <t>Health - Anti Malaria</t>
  </si>
  <si>
    <t>Health - Public Health</t>
  </si>
  <si>
    <t>Micro-projects - Anti-poaching projects</t>
  </si>
  <si>
    <t>Other Community</t>
  </si>
  <si>
    <t>Participation in community activities</t>
  </si>
  <si>
    <t>Routes- Clearing of the roadsides</t>
  </si>
  <si>
    <t>Investissement communautaires</t>
  </si>
  <si>
    <t>Const toillete clotures realisation fora</t>
  </si>
  <si>
    <t>Const centre  d'accueil toiltte a Maleah</t>
  </si>
  <si>
    <t>SGBG-SAP61 Saribou KEITA</t>
  </si>
  <si>
    <t>SGBG-SAP62 Mamady 2 CONDE</t>
  </si>
  <si>
    <t>SGBG-SAP63 Bakary DIABATE</t>
  </si>
  <si>
    <t>SGBG-SAP64 Ibrahima Kalil TRAORE</t>
  </si>
  <si>
    <t>Sig/airpt/road/work/for APC/major's/tipp</t>
  </si>
  <si>
    <t>ELABORATION DES DOSSIERS APPELS D'OFFRE (SEQUELEN)</t>
  </si>
  <si>
    <t>Rev-Reliquat Construction Route Siguiri-Kintinian</t>
  </si>
  <si>
    <t>Suply of dpzer d8 for airport road work</t>
  </si>
  <si>
    <t>SGBG-SAP66 Abdoulaye MAGASSOUBA</t>
  </si>
  <si>
    <t>SGBG-SAP67 Tibou KOUYATE</t>
  </si>
  <si>
    <t>SGBG-SAP68 Mory DIABY</t>
  </si>
  <si>
    <t>SGBG-SAP69 Lancine MAGASSOUBA</t>
  </si>
  <si>
    <t>SGBG-SAP70 Sambaly CAMARA</t>
  </si>
  <si>
    <t>Accrual Inv.133 ENTREP.OUVRIERS QUALIFIES</t>
  </si>
  <si>
    <t>Accrual Inv.19 DU 17/12/20 MOLY TRAVAUX (SARL)</t>
  </si>
  <si>
    <t>Rev-Location Loader 988/Travaux route Bambala</t>
  </si>
  <si>
    <t>Rev-Hiring of Dozer for 12 days to Heap Bambala la</t>
  </si>
  <si>
    <t>Rev-Hiring of Trucks  for Road Works-Boukaria(Fact</t>
  </si>
  <si>
    <t>Rev-Hiring of Trucks  for Road Works-Kamatiguiya(F</t>
  </si>
  <si>
    <t>Constr.Logement Chefs Departements Ecole Prof.Kint</t>
  </si>
  <si>
    <t>INSTALLATION, SUPPLY, PAVING</t>
  </si>
  <si>
    <t>40% SAG 4501728021/Log.Agronomes Mankiti</t>
  </si>
  <si>
    <t>Rev-Construction 3 salles de classes Primaires ave</t>
  </si>
  <si>
    <t>Constr.6 Salles de Classes Tambabougou (30% Contra</t>
  </si>
  <si>
    <t>Constr.3 Salles Classes Primaires A Samani (55% Co</t>
  </si>
  <si>
    <t>Constr.Ecole Coranique A Kourouni (45% Contract SA</t>
  </si>
  <si>
    <t>Constr.d'une Ecole de Koron (45% Contract SAG45017</t>
  </si>
  <si>
    <t>Constr.d'un Centre de Sante A Foulata (15% Contrac</t>
  </si>
  <si>
    <t>Constr.logement pr Directeur Ecole Prof.Kintinian</t>
  </si>
  <si>
    <t>Constr.3 Classes A Lenkekoron (40% Contract SAG450</t>
  </si>
  <si>
    <t>Construction 3 salle de classe a Lenkeko</t>
  </si>
  <si>
    <t>Construction 3 salle de classe a Kouroun</t>
  </si>
  <si>
    <t>Construct/log/direct/ecole/prof</t>
  </si>
  <si>
    <t>Construction d'une ecole de R+2 a Koron</t>
  </si>
  <si>
    <t>Construction 3 salle classe a Moyafara</t>
  </si>
  <si>
    <t>Construction poste de sante de Foulata</t>
  </si>
  <si>
    <t>Rev-Constr.6 Salles de Classes Tambabougou (30% Co</t>
  </si>
  <si>
    <t>Rev-Constr.3 Salles Classes Primaires A Samani (55</t>
  </si>
  <si>
    <t>Rev-Constr.Ecole Coranique A Kourouni (45% Contrac</t>
  </si>
  <si>
    <t>Rev-Constr.d'une Ecole de Koron (45% Contract SAG4</t>
  </si>
  <si>
    <t>Rev-Constr.logement pr Directeur Ecole Prof.Kintin</t>
  </si>
  <si>
    <t>Rev-Constr.3 Classes A Lenkekoron (40% Contract SA</t>
  </si>
  <si>
    <t>Construction 6 salle de classe a Tabakor</t>
  </si>
  <si>
    <t>Rev-Constr.Logement Chefs Departements Ecole Prof.</t>
  </si>
  <si>
    <t>Rev-Constr.d'un Centre de Sante A Foulata (15% Con</t>
  </si>
  <si>
    <t>10% Ctr no.SAG4501786114/Const.Moyafara</t>
  </si>
  <si>
    <t>Constr.Pavage Cour Ecole Professionnelle</t>
  </si>
  <si>
    <t>Fourniture&amp; Inst.clôture de 5 systèmes d’eau à Are</t>
  </si>
  <si>
    <t>Construction grillages, panneaux Area 1</t>
  </si>
  <si>
    <t>Const loge des chefs depart Area 1 lot 3</t>
  </si>
  <si>
    <t>Rev-Constr.Pavage Cour Ecole Professionnelle</t>
  </si>
  <si>
    <t>Rev-Fourniture&amp; Inst.clôture de 5 systèmes d’eau à</t>
  </si>
  <si>
    <t>Const 3 salles de classes franco arabe</t>
  </si>
  <si>
    <t>SGBG-SAP1317 KABINET DIAKITE</t>
  </si>
  <si>
    <t>Transp des eleves de Area 1</t>
  </si>
  <si>
    <t>4501916733</t>
  </si>
  <si>
    <t>Trsport eleves de Area One pour Kintinian</t>
  </si>
  <si>
    <t>PROJET DE CONSTRUCTION DU LOGEMENT SOCIAUX FATOYA</t>
  </si>
  <si>
    <t>Const logement agronome Mankiti</t>
  </si>
  <si>
    <t>Construction d'un Pont A Djelikourou</t>
  </si>
  <si>
    <t>Const Hangar a Mankiti projet rizicultur</t>
  </si>
  <si>
    <t>Transport Eleves de Area 1 p/ Kintinian</t>
  </si>
  <si>
    <t>CONST. HANGAR AGRICOLE FIFA 55%</t>
  </si>
  <si>
    <t>Construction de 3 classe a Doubaya</t>
  </si>
  <si>
    <t>Construction d'un pont a Djelikourou</t>
  </si>
  <si>
    <t>4501916733/ Equiments Maraichers _NAYOUTOU SERVICE</t>
  </si>
  <si>
    <t>Approvisionnement en Alevins/Projet Pisciculture</t>
  </si>
  <si>
    <t>Fourniture diverses fournitures /Projet Piscicultu</t>
  </si>
  <si>
    <t>Fourniture Corde no.12/Projet Pisciculture</t>
  </si>
  <si>
    <t>Mobilisation du personnel EDA /Projet d'appui au C</t>
  </si>
  <si>
    <t>Received by APC 5550</t>
  </si>
  <si>
    <t>4501916753/Equipements maraichers</t>
  </si>
  <si>
    <t>4501916744/Equipements maraichers</t>
  </si>
  <si>
    <t>PROVIDE CNSMBL;FILM &amp; ACCESSORIES</t>
  </si>
  <si>
    <t>Mob.Personnel EDA/Projet Appui_CSR Kinti</t>
  </si>
  <si>
    <t>SGBG-SAP1835 YACOUBA CAMARA-01812882</t>
  </si>
  <si>
    <t>SGBG-SAP1836 YACOUBA CAMARA-01812883</t>
  </si>
  <si>
    <t>4501728020-CONSTRUCTION D'UN HANGAR A MANKINTIN</t>
  </si>
  <si>
    <t>SERVICE;SERVICES OTHER</t>
  </si>
  <si>
    <t>Appui CSR Kintinian/Mob.Personnel EDA</t>
  </si>
  <si>
    <t>4501728020_FACT 005/021</t>
  </si>
  <si>
    <t>Travaux de remblai /Ecole Arabe _Area 1</t>
  </si>
  <si>
    <t>Prestations Bennes_remblai Ecole Primaire  Area 1</t>
  </si>
  <si>
    <t>Prestations Machine chargeuse_remblai Ecole Primai</t>
  </si>
  <si>
    <t>40 % contrat  SAG4501889487/Construction Poste de</t>
  </si>
  <si>
    <t>Usd</t>
  </si>
  <si>
    <t>REMBURSEMENT TO CAO DISPUTE RESOLUT/06-20-05/21</t>
  </si>
  <si>
    <t>4501953324</t>
  </si>
  <si>
    <t>COUNTRY DIRECT, INT STAFF BASED-CONAKRY</t>
  </si>
  <si>
    <t>PROGRAM ASSOCI, INT STAFF BASED-CONAKRY</t>
  </si>
  <si>
    <t>W/A REG SUP TEAM,INT STAFF BASE-W/AFRICA</t>
  </si>
  <si>
    <t>INST LEARN TEAM,INT STAFF BASED-W/AFRICA</t>
  </si>
  <si>
    <t>PROJ MGR, LOC STAFF, D/A IMPROVEMENT</t>
  </si>
  <si>
    <t>FIELD ASS, LOC STAFF, D/A IMPROVEMENT</t>
  </si>
  <si>
    <t>PROJ FIN OFF, LOC STAFF, D/A IMPROVEMENT</t>
  </si>
  <si>
    <t>CTRY FIN MGR, LOC STAFF, D/A IMPROVEMENT</t>
  </si>
  <si>
    <t>O/REACH COORD,LOC STAFF,D/A IMPROVEMENT</t>
  </si>
  <si>
    <t>ADMIN/RH TEAM,LOC STAFF,D/A IMPROVEMENT</t>
  </si>
  <si>
    <t>MON/EVAL OFF, LOC STAFF, D/A IMPROVEMENT</t>
  </si>
  <si>
    <t>DRVE/OFF ASS, LOC STAFF, D/A IMPROVEMENT</t>
  </si>
  <si>
    <t>LOC TRAVEL/TRAVEL COST, D/A IMPROVEMENT</t>
  </si>
  <si>
    <t>LOC TRAVEL PERDIEM ACC, D/A IMPROVEMENT</t>
  </si>
  <si>
    <t>INT TRAVEL/TRAVEL COST, D/A IMPROVEMENT</t>
  </si>
  <si>
    <t>INT TRAVEL PERDIEM ACC, D/A IMPROVEMENT</t>
  </si>
  <si>
    <t>OFF SUPPLIES, RUN COST, D/A IMPROVEMENT</t>
  </si>
  <si>
    <t>COMM COST, RUN COST, D/A IMPROVEMENT</t>
  </si>
  <si>
    <t>BANK FEES, RUN COST, D/A IMPROVEMENT</t>
  </si>
  <si>
    <t>QUART BANK COMM,RUN COST,D/A IMPROVEMENT</t>
  </si>
  <si>
    <t>OFF RENT, RUN COST, D/A IMPROVEMENT</t>
  </si>
  <si>
    <t>GRDN/GRB COLL, RUN COST, D/A IMPROVEMENT</t>
  </si>
  <si>
    <t>OFF SECURITY, RUN COST, D/A IMPROVEMENT</t>
  </si>
  <si>
    <t>OFF MAINT, RUN COST, D/A IMPROVEMENT</t>
  </si>
  <si>
    <t>OFF RENT/UTIL, RUN COST, D/A IMPROVEMENT</t>
  </si>
  <si>
    <t>LAPTOP/EQUIPMENT, D/A IMPROVEMENT</t>
  </si>
  <si>
    <t>SOFTWARE/IT SUPPLIES, D/A IMPROVEMENT</t>
  </si>
  <si>
    <t>ACT 0, ID LOC ACTOR, PART RESEARCH</t>
  </si>
  <si>
    <t>O/C 1 (AC 1.1), DATA COLL/CONF ANAL TEQ</t>
  </si>
  <si>
    <t>O/C 1 (AC 1.2), PARTICIPATORY CONF ANAL</t>
  </si>
  <si>
    <t>O/C 1 (AC 1.3),W/S,PRESENT,AUTH/CSOS/ASG</t>
  </si>
  <si>
    <t>O/C 1 (AC 1.4), PERTICIPATORY THEAT PERF</t>
  </si>
  <si>
    <t>O/C 2 (AC 2.1) INIT CAP BUILD/PLAN W/S</t>
  </si>
  <si>
    <t>O/C 2 (AC 2.2) OPERATION, T/FORCE/CCLM</t>
  </si>
  <si>
    <t>O/C 2(AC 2.3)PARTICIPATORY DEF,INDICATOR</t>
  </si>
  <si>
    <t>O/C 2 (AC 2.4) DEPLOYMENT, SCORECARDS</t>
  </si>
  <si>
    <t>O/C 2 (AC 2.5) EST TOWN HALL MEETINGS</t>
  </si>
  <si>
    <t>O/C 3 (AC 3.1) SUP ADV ACTION, ALL LEVEL</t>
  </si>
  <si>
    <t>O/C 3 (AC 3.2) TRAIN, SML GRANT RECEIVER</t>
  </si>
  <si>
    <t>O/C 3(AC 3.3) SML GRNT,SOCIO-ECO/COM ACT</t>
  </si>
  <si>
    <t>STARTUP W/S, MONITOR/EVAL, D/A IMPROVE</t>
  </si>
  <si>
    <t>B/ANN MONIT MISS,MONIT/EVAL,D/A IMPROVE</t>
  </si>
  <si>
    <t>FINAL EVAL, MONIT/EVAL, D/A IMPROVEMENT</t>
  </si>
  <si>
    <t>INDIRECT COST RATE, D/A IMPROVEMENT</t>
  </si>
  <si>
    <t>Farmer Field School Training</t>
  </si>
  <si>
    <t>Inst/Habillm/deco/foire/economique</t>
  </si>
  <si>
    <t>Depenses Communautaires</t>
  </si>
  <si>
    <t>Report ceremonie remise satisfecit Karat</t>
  </si>
  <si>
    <t>Report ceremonie remise satisfecit Fodel</t>
  </si>
  <si>
    <t>Baches plastiques</t>
  </si>
  <si>
    <t>Multi prises</t>
  </si>
  <si>
    <t>Report video evenm cult MD a Fatoya</t>
  </si>
  <si>
    <t>Location et gestion de kits de sonorisat</t>
  </si>
  <si>
    <t>Televiseur Samsung Led 43</t>
  </si>
  <si>
    <t>Location chaises</t>
  </si>
  <si>
    <t>Disque externe un terra</t>
  </si>
  <si>
    <t>Diff, rediff, table ronde, magaz reporta</t>
  </si>
  <si>
    <t>COMMUNICATIONS, OTHER EXPENSES</t>
  </si>
  <si>
    <t>Couverture mediatique manifestation cult</t>
  </si>
  <si>
    <t>Couverture gala de match organiser/SAG</t>
  </si>
  <si>
    <t>Sensibilisation lutte contre Coronavirus</t>
  </si>
  <si>
    <t>4501901383</t>
  </si>
  <si>
    <t>HIRE LABOR;HOURLY RATE</t>
  </si>
  <si>
    <t>Remise de diplome des jeunes filles</t>
  </si>
  <si>
    <t>Reportage peche de marre a Niandakoro</t>
  </si>
  <si>
    <t>Reportage match de football a koron</t>
  </si>
  <si>
    <t>4501902350</t>
  </si>
  <si>
    <t>Rencontre MD avec Footballeur Radio Milo</t>
  </si>
  <si>
    <t>Rencontre MD avec Footballeur Radio Rura</t>
  </si>
  <si>
    <t>Rencontre MD avec Footballeur Radio Djol</t>
  </si>
  <si>
    <t>Rediffusion evenement, couverture mediat</t>
  </si>
  <si>
    <t>4501902350/HP Color Laser Jet Pro MFP M479dw</t>
  </si>
  <si>
    <t>Report remise poteaux elect Mairie Sigui</t>
  </si>
  <si>
    <t>Report reception Golden Boys de Siguiri</t>
  </si>
  <si>
    <t>Diff.Communiqué Felicit._Ministre Mines</t>
  </si>
  <si>
    <t>Reportage Video_CR Negoc.Syndicale_SAG</t>
  </si>
  <si>
    <t>Diff.Communiqué Felic._Min.Mines_francai</t>
  </si>
  <si>
    <t>Decoration of 100 signposts</t>
  </si>
  <si>
    <t>Arrosage des routes de Boure</t>
  </si>
  <si>
    <t>SGBG-SAP1335 Gnoume CAMARA</t>
  </si>
  <si>
    <t>SGBG-SAP1336 Ibrahima kalil DIALLO</t>
  </si>
  <si>
    <t>SGBG-SAP1337 Fode Adama CONDE</t>
  </si>
  <si>
    <t>SGBG-SAP1338 Sekouba TRAORE</t>
  </si>
  <si>
    <t>SGBG-SAP1339 Mamadou CAMARA</t>
  </si>
  <si>
    <t>SGBG-SAP1340 Taliby CISSE</t>
  </si>
  <si>
    <t>SGBG-SAP1334 Mohamed OULARE</t>
  </si>
  <si>
    <t>Transport des communautes saraya foulata</t>
  </si>
  <si>
    <t>Rev-Transport des Communautes de Saraya et Foulata</t>
  </si>
  <si>
    <t>Heberg.Naman Magassouba/Les Hotels Maria</t>
  </si>
  <si>
    <t>Transp des sages pour Bamako</t>
  </si>
  <si>
    <t>Transp l'association Mansarela au Mali</t>
  </si>
  <si>
    <t>Transp.Candidats Baccalaureat p/Siguiri</t>
  </si>
  <si>
    <t>Insertion publicitaire registre 2020</t>
  </si>
  <si>
    <t>HIRE CONSULTANT</t>
  </si>
  <si>
    <t>HIRE CONSULTANT/ Pre Blast_Bloc 2</t>
  </si>
  <si>
    <t>HIRING OF LOBED TO TRANSPORT POLE TO SIG</t>
  </si>
  <si>
    <t>4501916076</t>
  </si>
  <si>
    <t>CTR 1000/N820000001</t>
  </si>
  <si>
    <t>P&amp;CA_2emeDec.LFO Dec.20</t>
  </si>
  <si>
    <t>P&amp;CA_3eDec.LFO(21-25) Dec.20</t>
  </si>
  <si>
    <t>P&amp;CA_3eDec.LFO(26-31) Dec.20</t>
  </si>
  <si>
    <t>APC(Moto Pomp )/Bowser</t>
  </si>
  <si>
    <t>P&amp;CA_1ereDec.LFO Jan.21</t>
  </si>
  <si>
    <t>P&amp;CA_2emeDec.LFO Jan.21</t>
  </si>
  <si>
    <t>P&amp;CA_3eDec.LFO(21-25) Jan.21</t>
  </si>
  <si>
    <t>P&amp;CA_3eDec.LFO(26-31) Jan.21</t>
  </si>
  <si>
    <t>P&amp;CA_1ereDec.LFO Feb.21</t>
  </si>
  <si>
    <t>P&amp;CA_2eme Dec.LFO Feb.21</t>
  </si>
  <si>
    <t>P&amp;CA_3eDec.LFO(21-25) Feb.21</t>
  </si>
  <si>
    <t>P&amp;CA_3eDec.LFO(26-28) Feb.21</t>
  </si>
  <si>
    <t>APC(Moto Pomp )/Fuel Bowser</t>
  </si>
  <si>
    <t>P&amp;CA_1ereDec.LFO Mar.21</t>
  </si>
  <si>
    <t>P&amp;CA_2eme Dec.LFO Mar.21</t>
  </si>
  <si>
    <t>P&amp;CA_3eDec.LFO(21-25) Mar.21</t>
  </si>
  <si>
    <t>P&amp;CA_3eDec.LFO(26-31) Mar.21</t>
  </si>
  <si>
    <t>P&amp;CA_1ereDec.LFO Apr.21</t>
  </si>
  <si>
    <t>P&amp;CA_2eme Dec.LFO Apr.21</t>
  </si>
  <si>
    <t>P&amp;CA_3eDec.LFO(21-25) Apr.21</t>
  </si>
  <si>
    <t>P&amp;CA_3eDec.LFO(26-30) Apr.21</t>
  </si>
  <si>
    <t>P&amp;CA_1ereDec.LFO May.21</t>
  </si>
  <si>
    <t>P&amp;CA_2eme Dec.LFO May.21</t>
  </si>
  <si>
    <t>P&amp;CA_3eDec.LFO(21-25) May.21</t>
  </si>
  <si>
    <t>P&amp;CA_3eDec.LFO(26-31) May.21</t>
  </si>
  <si>
    <t>P&amp;CA_1ereDec.LFO June.21</t>
  </si>
  <si>
    <t>P&amp;CA_2eme Dec.LFO June.21</t>
  </si>
  <si>
    <t>P&amp;CA_3eDec.LFO(21-25) June.21</t>
  </si>
  <si>
    <t>P&amp;CA_3eDec.LFO(26-30) June.21</t>
  </si>
  <si>
    <t>P&amp;CA_1er Dec LFO July.21</t>
  </si>
  <si>
    <t>P&amp;CA_2eme Dec LFO July.21</t>
  </si>
  <si>
    <t>P&amp;CA_3eme Dec Part LFO July.21</t>
  </si>
  <si>
    <t>P&amp;CA_3eme Dec Compl LFO July.21</t>
  </si>
  <si>
    <t>P&amp;CA_1er Dec LFO Aug.21</t>
  </si>
  <si>
    <t>P&amp;CA_2eme Dec LFO Aug.21</t>
  </si>
  <si>
    <t>P&amp;CA_3eme Dec Part LFO Aug.21</t>
  </si>
  <si>
    <t>P&amp;CA_3eme Dec Compl LFO Aug.21</t>
  </si>
  <si>
    <t>P&amp;CA_1er Dec LFO Sept.21</t>
  </si>
  <si>
    <t>P&amp;CA_2eme Dec LFO Sept.21</t>
  </si>
  <si>
    <t>P&amp;CA_3eme Dec Part LFO Sept.21</t>
  </si>
  <si>
    <t>P&amp;CA_3eme Dec Compl LFO Sept.21</t>
  </si>
  <si>
    <t>P&amp;CA_1er Dec LFO Oct.21</t>
  </si>
  <si>
    <t>P&amp;CA_2eme Dec LFO Oct.21</t>
  </si>
  <si>
    <t>P&amp;CA_3eme Dec Compl LFO Oct.21</t>
  </si>
  <si>
    <t>P&amp;CA_1er Dec LFO Nov.21</t>
  </si>
  <si>
    <t>P&amp;CA_2eme Dec LFO Nov.21</t>
  </si>
  <si>
    <t>P&amp;CA_3eme Dec Part LFO Nov.21</t>
  </si>
  <si>
    <t>P&amp;CA_1er Dec LFO Dec.21</t>
  </si>
  <si>
    <t>P&amp;CA_2eme Dec LFO Dec.21</t>
  </si>
  <si>
    <t>P&amp;CA_3eme Dec Part LFO Dec.21</t>
  </si>
  <si>
    <t>Rev-Hebergement Bnagura Swahib /Onomo Hotel (Fact.</t>
  </si>
  <si>
    <t>Rev-Hebergement Mam Adama N'dour/Onomo Hotel (Fact</t>
  </si>
  <si>
    <t>Rev-Hebergement Diarra Moussa/Onomo Hotel (Fact.18</t>
  </si>
  <si>
    <t>Rev-Hebergement Franflyn Angel Foray Marah/Onomo H</t>
  </si>
  <si>
    <t>Rev-Hebergement Michael Conteh/Onomo Hotel (Fact.1</t>
  </si>
  <si>
    <t>Rev-Hebergement Raymond Adeyemi Coker/Onomo Hotel</t>
  </si>
  <si>
    <t>Football team expenses for January.21</t>
  </si>
  <si>
    <t>SGBG-SAP209 ASHANTI GOLDEN BOYS - SAG</t>
  </si>
  <si>
    <t>SGBG-SAP257 ASHANTI GOLDEN BOYS - SAG SALAIRE DEC.</t>
  </si>
  <si>
    <t>SGBG-SAP258 ASHANTI G. BOYS SAG RETOUR FONDS AAGBS</t>
  </si>
  <si>
    <t>Rev-Football team expenses for December.20</t>
  </si>
  <si>
    <t>Rev-Money back to SAG(African champions league)</t>
  </si>
  <si>
    <t>Rev-Football team expenses for November.20</t>
  </si>
  <si>
    <t>Football team expenses for February.21</t>
  </si>
  <si>
    <t>SGBG-SAP413 ASHANTI GOLDEN BOYS -SAG JANV.2021</t>
  </si>
  <si>
    <t>Rev-Football team expenses for January.21</t>
  </si>
  <si>
    <t>Football team expenses for March.21</t>
  </si>
  <si>
    <t>SGBG-SAP489 ASHANTI GOLDEN BOYS-SAG-SAL/NOURIT FEV</t>
  </si>
  <si>
    <t>Rev-Football team expenses for February.21</t>
  </si>
  <si>
    <t>Football team expenses for April.21</t>
  </si>
  <si>
    <t>Football team expenses for May.21</t>
  </si>
  <si>
    <t>Football team expenses for June.21</t>
  </si>
  <si>
    <t>salaires &amp; Nourritures de Mars 2021 de l'Equipe de</t>
  </si>
  <si>
    <t>salaires &amp; Nourritures de Avril 2021 de l'Equipe d</t>
  </si>
  <si>
    <t>salaires &amp; Nourritures de Mai 2021 de l'Equipe de</t>
  </si>
  <si>
    <t>salaires &amp; Nourritures de Juin 2021 de l'Equipe de</t>
  </si>
  <si>
    <t>Rev-Football team expenses for March.21</t>
  </si>
  <si>
    <t>Rev-Football team expenses for April.21</t>
  </si>
  <si>
    <t>Rev-Football team expenses for May.21</t>
  </si>
  <si>
    <t>Rev-Football team expenses for June.21</t>
  </si>
  <si>
    <t>Rev-Location Maison Coach SAG</t>
  </si>
  <si>
    <t>Rev-Location Maison Equipe Foot SAG</t>
  </si>
  <si>
    <t>Rev-Location Maison Equipe Foot SAG 2020</t>
  </si>
  <si>
    <t>SGBG-SAP1491 ASHANTI GOLDEN BOYS - SAG COUPE CAF</t>
  </si>
  <si>
    <t>FUEL EXPENSES ARBABA BARRY</t>
  </si>
  <si>
    <t>PAIEMENT DES SAL ET NOURRITURES EQUIPE DE FOOTBALL</t>
  </si>
  <si>
    <t>SGBG-SAP1817 ASHANTI GOLDEN BOYS - SAGSGBG-SAP1817</t>
  </si>
  <si>
    <t>PROVIDE SERVS;SERVICE, MAINTENANCE</t>
  </si>
  <si>
    <t>Accrual Inv.33999 NOOM  HOTEL CONAKRY</t>
  </si>
  <si>
    <t>Accrual Inv.33998 NOOM  HOTEL CONAKRY</t>
  </si>
  <si>
    <t>Accrual Inv.33989 NOOM  HOTEL CONAKRY</t>
  </si>
  <si>
    <t>Accrual Inv.33995 NOOM  HOTEL CONAKRY</t>
  </si>
  <si>
    <t>Rev-Nettoyage de l'areport de Siguiri</t>
  </si>
  <si>
    <t>Hebergment William Leshilo Palm Camayen</t>
  </si>
  <si>
    <t>Restauration MD au centre d'acceuil de S</t>
  </si>
  <si>
    <t>Transport Eleves_Area 1 A Kintinian</t>
  </si>
  <si>
    <t>Rev-Trsport eleves de Area One pour Kintinian</t>
  </si>
  <si>
    <t>PV de Constat des lieux et d'interpellation A Foul</t>
  </si>
  <si>
    <t>PROVIDE SERVS;SERVICES</t>
  </si>
  <si>
    <t>Suivi Medias en ligne/Janvier 2021</t>
  </si>
  <si>
    <t>Facture Arrosage route Boure Janvier 21</t>
  </si>
  <si>
    <t>Arrosage route Boure Fevrier 2021</t>
  </si>
  <si>
    <t>Rev-Suivi Medias en ligne/Janvier 2021</t>
  </si>
  <si>
    <t>Arrosage route Boure Mars 2021</t>
  </si>
  <si>
    <t>Arrosage Routes Boure/ Avril 2021</t>
  </si>
  <si>
    <t>Arrosage Routes Boure/Avril 2021</t>
  </si>
  <si>
    <t>Arrosage Routes Boure/ May 2021</t>
  </si>
  <si>
    <t>Rev-Arrosage Routes Boure/ Avril 2021</t>
  </si>
  <si>
    <t>Arrosage route Boure Mai 2021</t>
  </si>
  <si>
    <t>Rev-Suivi mensuel des medias en ligne &amp; Couverture</t>
  </si>
  <si>
    <t>Arrosage des routes mois Main 2021 ADB</t>
  </si>
  <si>
    <t>Rev-Arrosage Routes Boure/ May 2021</t>
  </si>
  <si>
    <t>Arrosage Routes Boure/Mai2021_Inv.05_21</t>
  </si>
  <si>
    <t>SRV, SPONSORSHIPS / DONATIONS</t>
  </si>
  <si>
    <t>Report/ceremonie/aurevoir/retraites SAG</t>
  </si>
  <si>
    <t>Report/video/celebr/milles/jours/et/SIDA</t>
  </si>
  <si>
    <t>Report/vid/lance/prjet/des/mecanismes/de</t>
  </si>
  <si>
    <t>Le paiement de salaire des 10 nettoyeurs</t>
  </si>
  <si>
    <t>Diff et rediff des tables rondes</t>
  </si>
  <si>
    <t>Rediff/table ronde securite routiere</t>
  </si>
  <si>
    <t>Prestation</t>
  </si>
  <si>
    <t>Org/curlt/al'honneur/du MD SAG</t>
  </si>
  <si>
    <t>Diff et rediff des couverutres mediatiqu</t>
  </si>
  <si>
    <t>Realisation magasine table ronde</t>
  </si>
  <si>
    <t>Rediff couverture mediatique remise</t>
  </si>
  <si>
    <t>DONATION FUNERAIRE KADIATOU SIDIBE GOUVERNERA KANK</t>
  </si>
  <si>
    <t>SGBG-SAP529B SOUTIEN AU RITES FUNERAIRE LIE AU DEC</t>
  </si>
  <si>
    <t>Rediff magazine table ronde</t>
  </si>
  <si>
    <t>MOUSSA DIARRA USAGE GREETINGS OF THE SAG HOST COMM</t>
  </si>
  <si>
    <t>SGBG-SAP635 Mohamed OULARE</t>
  </si>
  <si>
    <t>SGBG-SAP636 Ali CAMARA</t>
  </si>
  <si>
    <t>SGBG-SAP637 Souleymane KEITA</t>
  </si>
  <si>
    <t>SGBG-SAP638 Aly SYLLA</t>
  </si>
  <si>
    <t>SGBG-SAP639 Amara SACKO</t>
  </si>
  <si>
    <t>SGBG-SAP640 Dantini SACKO</t>
  </si>
  <si>
    <t>SGBG-SAP641 Lancine MAGASSOUBA</t>
  </si>
  <si>
    <t>SGBG-SAP642 Mamady CAMARA</t>
  </si>
  <si>
    <t>SGBG-SAP643 Djigui M’ballou CAMARA</t>
  </si>
  <si>
    <t>SGBG-SAP644 Taliby  CISSE</t>
  </si>
  <si>
    <t>SGBG-SAP645 Sekouba TRAORRE</t>
  </si>
  <si>
    <t>SGBG-SAP646 Ibrahima Kalil DIALLO</t>
  </si>
  <si>
    <t>SGBG-SAP647 Gnoume CAMARA</t>
  </si>
  <si>
    <t>SGBG-SAP648 Mory Adama CONDE</t>
  </si>
  <si>
    <t>SGBG-SAP649 Madou Camara</t>
  </si>
  <si>
    <t>SGBG-SAP650 Amara Camara</t>
  </si>
  <si>
    <t>DONATION FUNERAIRE LANCEI CAMARA</t>
  </si>
  <si>
    <t>DONATION FUNERAIREEL HADJ BOUBACAR BALDE KANKAN</t>
  </si>
  <si>
    <t>VISITE DE COURTOISIE AU CHEF DE BUREAU DE KOUREMAL</t>
  </si>
  <si>
    <t>CONDELEANCE COMMISSAIRE DE POLICE KOUREMALE</t>
  </si>
  <si>
    <t>CONDELEANCE CDT DE LA GENDARMERIE DE  KOUREMALE</t>
  </si>
  <si>
    <t>Trsport des Sages de Balato A Bamako</t>
  </si>
  <si>
    <t>Trsport Association Mansarela A Kouroukanfouga</t>
  </si>
  <si>
    <t>Reportage remise diplomes/Centre Formation Mulpete</t>
  </si>
  <si>
    <t>Reportage Match Football A Koron/ Fete des Femmes</t>
  </si>
  <si>
    <t>Reportage Ceremonie Peche/Marre Niandankoro</t>
  </si>
  <si>
    <t>FUNERAL DONATION FOR THE LATE HEEAD MORY DIABY SIG</t>
  </si>
  <si>
    <t>FUNERAL DONATION OF THE LATE KASSIM SYLLA FOULATA</t>
  </si>
  <si>
    <t>P.R &amp; C.A, MessJune.21</t>
  </si>
  <si>
    <t>SGBG-SAP1204 MOSSA DIARRA GOUV. TABASKI-01719445</t>
  </si>
  <si>
    <t>Rev-Trsport des Sages de Balato A Bamako</t>
  </si>
  <si>
    <t>Rev-Trsport Association Mansarela A Kouroukanfouga</t>
  </si>
  <si>
    <t>Rev-Reportage remise diplomes/Centre Formation Mul</t>
  </si>
  <si>
    <t>Rev-Reportage Match Football A Koron/ Fete des Fem</t>
  </si>
  <si>
    <t>Rev-Reportage Ceremonie Peche/Marre Niandankoro</t>
  </si>
  <si>
    <t>Trsport candidats BAC Balato, Boukaria et Kintinia</t>
  </si>
  <si>
    <t>SALUTATIONS HABITUELLES SAG COMMUNAUTES  SGRI &amp; BO</t>
  </si>
  <si>
    <t>SALUTATIONS HABITUELLES SAG COMMUNAUTES  KORON &amp; B</t>
  </si>
  <si>
    <t>P.R &amp; C.A, MessJuly.21</t>
  </si>
  <si>
    <t>SALUTAION HABITUEL COMMUNAUTE SIGUIRI &amp; BOURE</t>
  </si>
  <si>
    <t>SALUTAION HABITUEL COMMUNAUTE KORON &amp; BOURE</t>
  </si>
  <si>
    <t>SGBG-SAP1346 MOUSSA CONDE PERDIEM - 01719493</t>
  </si>
  <si>
    <t>Transp.Commun. Bloc 2_Funerailles Kassim</t>
  </si>
  <si>
    <t>SGS-SAP210173 CEREMONIE BAPTEME FILS SECRETAIRE GL</t>
  </si>
  <si>
    <t>Rev-Trsport candidats BAC Balato, Boukaria et Kint</t>
  </si>
  <si>
    <t>SGBG-SAP1368 Sekouba TRAORE</t>
  </si>
  <si>
    <t>SGBG-SAP1369 Mamady CONDE</t>
  </si>
  <si>
    <t>SGBG-SAP1370 Lah Moussa TRAORE</t>
  </si>
  <si>
    <t>SGBG-SAP1371 Bakary DIAWARA</t>
  </si>
  <si>
    <t>SGBG-SAP1372 Pepe Seraphin LAMAH</t>
  </si>
  <si>
    <t>SGBG-SAP1373 Sawa CAMARA</t>
  </si>
  <si>
    <t>SGBG-SAP1374 Noumouke CAMARA</t>
  </si>
  <si>
    <t>SGBG-SAP1375 Fode FOFANA</t>
  </si>
  <si>
    <t>SGBG-SAP1376 Mamadi DOUMBOUYA</t>
  </si>
  <si>
    <t>SGBG-SAP1377 Toumany SIDIBE</t>
  </si>
  <si>
    <t>SGBG-SAP1378 Mamadi Ben SOUMAORO</t>
  </si>
  <si>
    <t>SGBG-SAP1379 Idrissa BANGOURA</t>
  </si>
  <si>
    <t>SGBG-SAP1380 Mohamed Lamine SANOH</t>
  </si>
  <si>
    <t>SGBG-SAP1381 Naby Laye Moussa CAMARA</t>
  </si>
  <si>
    <t>SGBG-SAP1382 Ismael DANSOKO</t>
  </si>
  <si>
    <t>SGBG-SAP1383 Aboubacar DOUKOURE</t>
  </si>
  <si>
    <t>SGBG-SAP1384 Mohamed CISSOKO</t>
  </si>
  <si>
    <t>SGBG-SAP1385 Mohamed DONZO</t>
  </si>
  <si>
    <t>SGBG-SAP1386 Mohamed CAMARA</t>
  </si>
  <si>
    <t>SGBG-SAP1387 Lansana CAMARA</t>
  </si>
  <si>
    <t>SALUTATION DIRECTION DE LA SAG 2EME IMAM KONRON SU</t>
  </si>
  <si>
    <t>PERDIEM GOUVERNUER KK</t>
  </si>
  <si>
    <t>FUNERAL DONATION OF THE LATE ISSA MAGASSOUBA</t>
  </si>
  <si>
    <t>FUNERAL FAREMBE CAMARA EX DGA SAG</t>
  </si>
  <si>
    <t>SGBG-SAP1678 SEKOUBA TRAORE</t>
  </si>
  <si>
    <t>SGBG-SAP1679 LANCEI KEITA</t>
  </si>
  <si>
    <t>SGBG-SAP1680 MORY ADAMA CONDE</t>
  </si>
  <si>
    <t>REVERSAL SGBG-SAP1515 Saa Antoine KOUNDOUNO</t>
  </si>
  <si>
    <t>REVERSAL SGBG-SAP1516 Saliou KOUYATE</t>
  </si>
  <si>
    <t>REVERSAL SGBG-SAP1570 Bandia CAMARA</t>
  </si>
  <si>
    <t>REVERSAL SGBG-SAP1571 Farein CAMARA</t>
  </si>
  <si>
    <t>REVERSAL SGBG-SAP1572 Souleymane CAMARA</t>
  </si>
  <si>
    <t>REVERSAL SGBG-SAP1573 Laye DOUMBOUYA</t>
  </si>
  <si>
    <t>SGBG-SAP1808 Joseph SOUMAH</t>
  </si>
  <si>
    <t>SGBG-SAP1809 Gnoume CAMARA</t>
  </si>
  <si>
    <t>SGBG-SAP1810 Mory Adama CONDE</t>
  </si>
  <si>
    <t>SGBG-SAP1811 Lancine MAGASSOUBA</t>
  </si>
  <si>
    <t>SGBG-SAP1812 Abdoulaye MAGASSOUBA</t>
  </si>
  <si>
    <t>SGBG-SAP1813 Tibou KOUYATE</t>
  </si>
  <si>
    <t>SGBG-SAP1814 N'famory KOUROUMA</t>
  </si>
  <si>
    <t>SGBG-SAP1815 Lancine MAGASSOUBA</t>
  </si>
  <si>
    <t>Sambaly CAMARA</t>
  </si>
  <si>
    <t>SGBG-SAP1910 Abdoulaye MAGASSOUBA</t>
  </si>
  <si>
    <t>SGBG-SAP1911 Tibou KOUYATE</t>
  </si>
  <si>
    <t>SGBG-SAP1912 N'famory KOUROUMA</t>
  </si>
  <si>
    <t>SGBG-SAP1913 Lancine MAGASSOUBA</t>
  </si>
  <si>
    <t>SGBG-SAP1914 Sambaly CAMARA</t>
  </si>
  <si>
    <t>SGBG-SAP1915 Moussa SIDIBE</t>
  </si>
  <si>
    <t>SGBG-SAP1942 COMITE NL SOUTIEN SYLI NL</t>
  </si>
  <si>
    <t>ACHAT DES BOEUF SARAYA &amp; FOULATA</t>
  </si>
  <si>
    <t>Rev-Prestations de Service December.20</t>
  </si>
  <si>
    <t>Rev-Rediffusion Table ronde sur la securite routie</t>
  </si>
  <si>
    <t>Rev-Rediffusion Table ronde , Magazine du 01 Juin</t>
  </si>
  <si>
    <t>Suivi Medias en ligne/February.21</t>
  </si>
  <si>
    <t>Suivi Medias en ligne/March.21</t>
  </si>
  <si>
    <t>Rev-Suivi Medias en ligne/February.21</t>
  </si>
  <si>
    <t>Rev-Suivi Medias en ligne/March.21</t>
  </si>
  <si>
    <t>Communiqué  Nomination Ministre des Mines</t>
  </si>
  <si>
    <t>Diffusion communiqué de Felicitation /Nomination M</t>
  </si>
  <si>
    <t>Couverture assemblee generale  syndicat</t>
  </si>
  <si>
    <t>Couverture mediatique/ Journee Sida</t>
  </si>
  <si>
    <t>Divers magzines, tables rondes &amp; communiqués</t>
  </si>
  <si>
    <t>Communiqué_remerciement MD sortant &amp; Couverture in</t>
  </si>
  <si>
    <t>Divers communiqués &amp; Couvertures mediatiques</t>
  </si>
  <si>
    <t>Hebergment William et Nellia Muteme NOOM</t>
  </si>
  <si>
    <t>Direction Nationale de Mines NOOM</t>
  </si>
  <si>
    <t>Hebergment William Leshilo NOOM</t>
  </si>
  <si>
    <t>Hebergment MD et Karamoba DIOUBATE NOOM</t>
  </si>
  <si>
    <t>REVERSAL SAP3292 HOTEL DU NORD</t>
  </si>
  <si>
    <t>REVERSAL NOT RECEIVED</t>
  </si>
  <si>
    <t>HP LaserJet Enterprise Flow MFPM776z</t>
  </si>
  <si>
    <t>4501902350/IFE IMALAYA FRANCE EXPORT</t>
  </si>
  <si>
    <t>4501968282</t>
  </si>
  <si>
    <t>4501936193</t>
  </si>
  <si>
    <t>Support to formalisation of ASM in Guine</t>
  </si>
  <si>
    <t>4501893688</t>
  </si>
  <si>
    <t>4501932827/ HIRE CONSULTANT_Pre Blast_Bloc 2</t>
  </si>
  <si>
    <t>COMPLIANCE ADVISOR FEES ANDE EXPENSES -MAY-OCT21</t>
  </si>
  <si>
    <t>Formalisation de l'orpaillage_Etape 4</t>
  </si>
  <si>
    <t>Priority Interv.draft &amp; Cple Activities</t>
  </si>
  <si>
    <t>4905593944</t>
  </si>
  <si>
    <t>CLOTHING OUTFIT UTIL:XL</t>
  </si>
  <si>
    <t>INSECTICIDE:MOSQUITO REPELLENT;SPRAY</t>
  </si>
  <si>
    <t>Rev-APC(Moto Pomp Marigo)</t>
  </si>
  <si>
    <t>Rev-P&amp;CA LV Fuel  December.20</t>
  </si>
  <si>
    <t>APC(Moto Pomp Marigo)</t>
  </si>
  <si>
    <t>P&amp;CA LV Fuel  January.21</t>
  </si>
  <si>
    <t>Rev-P&amp;CA LV Fuel  January.21</t>
  </si>
  <si>
    <t>P&amp;CA LV Fuel  February.21</t>
  </si>
  <si>
    <t>Rev-P&amp;CA LV Fuel  February.21</t>
  </si>
  <si>
    <t>P&amp;CA LV Fuel  March.21</t>
  </si>
  <si>
    <t>Rev-P&amp;CA LV Fuel  March.21</t>
  </si>
  <si>
    <t>P&amp;CA LV Fuel  April.21</t>
  </si>
  <si>
    <t>Rev-P&amp;CA LV Fuel  April.21</t>
  </si>
  <si>
    <t>P&amp;CA LV Fuel  May.21</t>
  </si>
  <si>
    <t>Rev-P&amp;CA LV Fuel  May.21</t>
  </si>
  <si>
    <t>P&amp;CA LV Fuel  June.21</t>
  </si>
  <si>
    <t>Rev-P&amp;CA LV Fuel  June.21</t>
  </si>
  <si>
    <t>APC(Moto Pomp Marigo) Fuel July.21</t>
  </si>
  <si>
    <t>Rev-APC(Moto Pomp Marigo) Fuel July.21</t>
  </si>
  <si>
    <t>P&amp;CA LV Fuel  August.21</t>
  </si>
  <si>
    <t>Rev-P&amp;CA LV Fuel  August.21</t>
  </si>
  <si>
    <t>P&amp;CA LV Fuel  September.21</t>
  </si>
  <si>
    <t>P&amp;CA LV Fuel  October.21</t>
  </si>
  <si>
    <t>P&amp;CA LV Fuel  November.21</t>
  </si>
  <si>
    <t>P&amp;CA_3eme Dec Compl LFO Dec.21</t>
  </si>
  <si>
    <t>SERV;OVERSEAS TRAVEL</t>
  </si>
  <si>
    <t>S/Prefectures Mambia et Friguiagbe</t>
  </si>
  <si>
    <t>Paiement a l'administration des sous prefectures de Mambia et Friguiagbe pour l'acquisition des fournitures de bureau</t>
  </si>
  <si>
    <t xml:space="preserve">S/P. de Mambia/Ecole elementaire </t>
  </si>
  <si>
    <t>Paiement a la delegation scolaire de Mambia pour Organisations des examens scolaires session 2021</t>
  </si>
  <si>
    <t>S/P. Mambia, Friguiagbe, Samaya</t>
  </si>
  <si>
    <t>Paiement pour les activites des groupements agricoles feminins  des S/Prefecture Mambia, Friguiagbe, Samaya</t>
  </si>
  <si>
    <t>Prefecture de KINDIA</t>
  </si>
  <si>
    <t>Assistance a la prefecture de Kindia pour l'organisation de la remise du cheque de la CDL(Contribution au Developpement Communautaire)</t>
  </si>
  <si>
    <t>S/P de Mambia et Friguiagbe</t>
  </si>
  <si>
    <t>Execution de trois forage a Mambia, Friguiagbe</t>
  </si>
  <si>
    <t>S/Prefecture de Mambia centre</t>
  </si>
  <si>
    <t>Construction et equipement d'un college de 04 salles et bloc latrines dans la S/Prefecture de Mambia</t>
  </si>
  <si>
    <t>S/Prefecture de Friguiagbe</t>
  </si>
  <si>
    <t>Construction d'un Centre de sante dans la S/Prefecture deFriguiagbe</t>
  </si>
  <si>
    <t>Assistance a la prefecture de Kindia pour l'organisation de la remise du cheque au FODEL de Kindia</t>
  </si>
  <si>
    <t>Construction d'un Centre de sante et d'un bloc latrine dans la S/Prefecture de Friguiagbe</t>
  </si>
  <si>
    <t>Construction et equipement du Centre de sante et d'un bloc latrine dans la S/Prefecture de Friguiagbe</t>
  </si>
  <si>
    <t xml:space="preserve">S/Prefecture de Debele et Mambia </t>
  </si>
  <si>
    <t>Achat de fournitures et materiels de Bureau pour les ecoles de Debele et Mambia.</t>
  </si>
  <si>
    <t>Code</t>
  </si>
  <si>
    <t>SGG</t>
  </si>
  <si>
    <t>Parties</t>
  </si>
  <si>
    <t>Type</t>
  </si>
  <si>
    <t>Substances</t>
  </si>
  <si>
    <t>Groupe de Statuts</t>
  </si>
  <si>
    <t>Date Soumission de Demande</t>
  </si>
  <si>
    <t>Date d'Octroi</t>
  </si>
  <si>
    <t>Date de Fin de Validité</t>
  </si>
  <si>
    <t>Date Lettre de Demande</t>
  </si>
  <si>
    <t>superficie</t>
  </si>
  <si>
    <t>Référence Cartographique</t>
  </si>
  <si>
    <t>SOCIETE CELTIC MINING CORPORATION GUINEA SA</t>
  </si>
  <si>
    <t>Valide</t>
  </si>
  <si>
    <r>
      <t>99.2194 km</t>
    </r>
    <r>
      <rPr>
        <vertAlign val="superscript"/>
        <sz val="12"/>
        <color theme="1"/>
        <rFont val="Times New Roman"/>
        <family val="1"/>
      </rPr>
      <t>2</t>
    </r>
  </si>
  <si>
    <t>SOLID MINERALS GUINEA SARLU</t>
  </si>
  <si>
    <t>Bauxite</t>
  </si>
  <si>
    <r>
      <t>211.1605 km</t>
    </r>
    <r>
      <rPr>
        <vertAlign val="superscript"/>
        <sz val="12"/>
        <color theme="1"/>
        <rFont val="Times New Roman"/>
        <family val="1"/>
      </rPr>
      <t>2</t>
    </r>
  </si>
  <si>
    <t>MAMOU RESOURCES SARLU (100%)</t>
  </si>
  <si>
    <r>
      <t>99.5048 km</t>
    </r>
    <r>
      <rPr>
        <vertAlign val="superscript"/>
        <sz val="12"/>
        <color theme="1"/>
        <rFont val="Times New Roman"/>
        <family val="1"/>
      </rPr>
      <t>2</t>
    </r>
  </si>
  <si>
    <t>COMPAGNIE DES BAUXITES DE GUINEE C.B.G</t>
  </si>
  <si>
    <r>
      <t>2410.6691 km</t>
    </r>
    <r>
      <rPr>
        <vertAlign val="superscript"/>
        <sz val="12"/>
        <color theme="1"/>
        <rFont val="Times New Roman"/>
        <family val="1"/>
      </rPr>
      <t>2</t>
    </r>
  </si>
  <si>
    <t>SOCIETE AXIS BUSINESS MANAGEMENT GROUP &amp; MINERALS SARLU</t>
  </si>
  <si>
    <t>Cobalt</t>
  </si>
  <si>
    <r>
      <t>99.6344 km</t>
    </r>
    <r>
      <rPr>
        <vertAlign val="superscript"/>
        <sz val="12"/>
        <color theme="1"/>
        <rFont val="Times New Roman"/>
        <family val="1"/>
      </rPr>
      <t>2</t>
    </r>
  </si>
  <si>
    <r>
      <t>73.7116 km</t>
    </r>
    <r>
      <rPr>
        <vertAlign val="superscript"/>
        <sz val="12"/>
        <color theme="1"/>
        <rFont val="Times New Roman"/>
        <family val="1"/>
      </rPr>
      <t>2</t>
    </r>
  </si>
  <si>
    <t>ROUSSKI ALUMINI MANAGEMENT</t>
  </si>
  <si>
    <r>
      <t>378.4442 km</t>
    </r>
    <r>
      <rPr>
        <vertAlign val="superscript"/>
        <sz val="12"/>
        <color theme="1"/>
        <rFont val="Times New Roman"/>
        <family val="1"/>
      </rPr>
      <t>2</t>
    </r>
  </si>
  <si>
    <t>SOCIETE DES BAUXITES DE DABOLA-TOUGUE</t>
  </si>
  <si>
    <r>
      <t>5684.0000 km</t>
    </r>
    <r>
      <rPr>
        <vertAlign val="superscript"/>
        <sz val="12"/>
        <color theme="1"/>
        <rFont val="Times New Roman"/>
        <family val="1"/>
      </rPr>
      <t>2</t>
    </r>
  </si>
  <si>
    <t>SOCIETE MINIERE DE BOKE (SMB)-SA</t>
  </si>
  <si>
    <r>
      <t>261.1311 km</t>
    </r>
    <r>
      <rPr>
        <vertAlign val="superscript"/>
        <sz val="12"/>
        <color theme="1"/>
        <rFont val="Times New Roman"/>
        <family val="1"/>
      </rPr>
      <t>2</t>
    </r>
  </si>
  <si>
    <t>SOCIETE GLOBAL MINING KOREA CORPORATION SARL</t>
  </si>
  <si>
    <r>
      <t>13.4285 km</t>
    </r>
    <r>
      <rPr>
        <vertAlign val="superscript"/>
        <sz val="12"/>
        <color theme="1"/>
        <rFont val="Times New Roman"/>
        <family val="1"/>
      </rPr>
      <t>2</t>
    </r>
  </si>
  <si>
    <r>
      <t>2.4354 km</t>
    </r>
    <r>
      <rPr>
        <vertAlign val="superscript"/>
        <sz val="12"/>
        <color theme="1"/>
        <rFont val="Times New Roman"/>
        <family val="1"/>
      </rPr>
      <t>2</t>
    </r>
  </si>
  <si>
    <r>
      <t>14.7346 km</t>
    </r>
    <r>
      <rPr>
        <vertAlign val="superscript"/>
        <sz val="12"/>
        <color theme="1"/>
        <rFont val="Times New Roman"/>
        <family val="1"/>
      </rPr>
      <t>2</t>
    </r>
  </si>
  <si>
    <t>SOCIETE LUCKY MINES &amp; MINERALS SARLU</t>
  </si>
  <si>
    <r>
      <t>15.9978 km</t>
    </r>
    <r>
      <rPr>
        <vertAlign val="superscript"/>
        <sz val="12"/>
        <color theme="1"/>
        <rFont val="Times New Roman"/>
        <family val="1"/>
      </rPr>
      <t>2</t>
    </r>
  </si>
  <si>
    <r>
      <t>14.5155 km</t>
    </r>
    <r>
      <rPr>
        <vertAlign val="superscript"/>
        <sz val="12"/>
        <color theme="1"/>
        <rFont val="Times New Roman"/>
        <family val="1"/>
      </rPr>
      <t>2</t>
    </r>
  </si>
  <si>
    <r>
      <t>15.9977 km</t>
    </r>
    <r>
      <rPr>
        <vertAlign val="superscript"/>
        <sz val="12"/>
        <color theme="1"/>
        <rFont val="Times New Roman"/>
        <family val="1"/>
      </rPr>
      <t>2</t>
    </r>
  </si>
  <si>
    <r>
      <t>15.9996 km</t>
    </r>
    <r>
      <rPr>
        <vertAlign val="superscript"/>
        <sz val="12"/>
        <color theme="1"/>
        <rFont val="Times New Roman"/>
        <family val="1"/>
      </rPr>
      <t>2</t>
    </r>
  </si>
  <si>
    <t>SOCIETE WINNING CONSORTIUM SIMANDOU SAU</t>
  </si>
  <si>
    <t>Fer</t>
  </si>
  <si>
    <r>
      <t>359.8361 km</t>
    </r>
    <r>
      <rPr>
        <vertAlign val="superscript"/>
        <sz val="12"/>
        <color theme="1"/>
        <rFont val="Times New Roman"/>
        <family val="1"/>
      </rPr>
      <t>2</t>
    </r>
  </si>
  <si>
    <t>SOCIETE DJOMA GROUP SA</t>
  </si>
  <si>
    <r>
      <t>5.9870 km</t>
    </r>
    <r>
      <rPr>
        <vertAlign val="superscript"/>
        <sz val="12"/>
        <color theme="1"/>
        <rFont val="Times New Roman"/>
        <family val="1"/>
      </rPr>
      <t>2</t>
    </r>
  </si>
  <si>
    <t>TAMIYANDOU KISSI MINES SARLU</t>
  </si>
  <si>
    <r>
      <t>15.8443 km</t>
    </r>
    <r>
      <rPr>
        <vertAlign val="superscript"/>
        <sz val="12"/>
        <color theme="1"/>
        <rFont val="Times New Roman"/>
        <family val="1"/>
      </rPr>
      <t>2</t>
    </r>
  </si>
  <si>
    <t>SYCAMORE MINE GUINEE SAU</t>
  </si>
  <si>
    <r>
      <t>93.6289 km</t>
    </r>
    <r>
      <rPr>
        <vertAlign val="superscript"/>
        <sz val="12"/>
        <color theme="1"/>
        <rFont val="Times New Roman"/>
        <family val="1"/>
      </rPr>
      <t>2</t>
    </r>
  </si>
  <si>
    <t>SWR INTERNATIONAL SARL</t>
  </si>
  <si>
    <r>
      <t>7.9627 km</t>
    </r>
    <r>
      <rPr>
        <vertAlign val="superscript"/>
        <sz val="12"/>
        <color theme="1"/>
        <rFont val="Times New Roman"/>
        <family val="1"/>
      </rPr>
      <t>2</t>
    </r>
  </si>
  <si>
    <r>
      <t>99.3452 km</t>
    </r>
    <r>
      <rPr>
        <vertAlign val="superscript"/>
        <sz val="12"/>
        <color theme="1"/>
        <rFont val="Times New Roman"/>
        <family val="1"/>
      </rPr>
      <t>2</t>
    </r>
  </si>
  <si>
    <t>SOCIETE TARESSA MINING LOGISTIC</t>
  </si>
  <si>
    <r>
      <t>184.3624 km</t>
    </r>
    <r>
      <rPr>
        <vertAlign val="superscript"/>
        <sz val="12"/>
        <color theme="1"/>
        <rFont val="Times New Roman"/>
        <family val="1"/>
      </rPr>
      <t>2</t>
    </r>
  </si>
  <si>
    <t>SHENG RONG MINNING DEVELOPEMENT SARL</t>
  </si>
  <si>
    <r>
      <t>152.8668 km</t>
    </r>
    <r>
      <rPr>
        <vertAlign val="superscript"/>
        <sz val="12"/>
        <color theme="1"/>
        <rFont val="Times New Roman"/>
        <family val="1"/>
      </rPr>
      <t>2</t>
    </r>
  </si>
  <si>
    <r>
      <t>8.0111 km</t>
    </r>
    <r>
      <rPr>
        <vertAlign val="superscript"/>
        <sz val="12"/>
        <color theme="1"/>
        <rFont val="Times New Roman"/>
        <family val="1"/>
      </rPr>
      <t>2</t>
    </r>
  </si>
  <si>
    <t>SOCIETE FARAFINA RESOURCES SARL</t>
  </si>
  <si>
    <r>
      <t>15.6463 km</t>
    </r>
    <r>
      <rPr>
        <vertAlign val="superscript"/>
        <sz val="12"/>
        <color theme="1"/>
        <rFont val="Times New Roman"/>
        <family val="1"/>
      </rPr>
      <t>2</t>
    </r>
  </si>
  <si>
    <t>DAUMINE -SARL.</t>
  </si>
  <si>
    <t>Diamant alluvionnaire</t>
  </si>
  <si>
    <r>
      <t>15.5344 km</t>
    </r>
    <r>
      <rPr>
        <vertAlign val="superscript"/>
        <sz val="12"/>
        <color theme="1"/>
        <rFont val="Times New Roman"/>
        <family val="1"/>
      </rPr>
      <t>2</t>
    </r>
  </si>
  <si>
    <t>ALAMAKO CORPORATION INTERNATIONAL SARL</t>
  </si>
  <si>
    <r>
      <t>4.4620 km</t>
    </r>
    <r>
      <rPr>
        <vertAlign val="superscript"/>
        <sz val="12"/>
        <color theme="1"/>
        <rFont val="Times New Roman"/>
        <family val="1"/>
      </rPr>
      <t>2</t>
    </r>
  </si>
  <si>
    <r>
      <t>240.9037 km</t>
    </r>
    <r>
      <rPr>
        <vertAlign val="superscript"/>
        <sz val="12"/>
        <color theme="1"/>
        <rFont val="Times New Roman"/>
        <family val="1"/>
      </rPr>
      <t>2</t>
    </r>
  </si>
  <si>
    <r>
      <t>75.2756 km</t>
    </r>
    <r>
      <rPr>
        <vertAlign val="superscript"/>
        <sz val="12"/>
        <color theme="1"/>
        <rFont val="Times New Roman"/>
        <family val="1"/>
      </rPr>
      <t>2</t>
    </r>
  </si>
  <si>
    <t>SOCIETE GUINEENNE DES MINES DE FER SAU</t>
  </si>
  <si>
    <r>
      <t>333.2358 km</t>
    </r>
    <r>
      <rPr>
        <vertAlign val="superscript"/>
        <sz val="12"/>
        <color theme="1"/>
        <rFont val="Times New Roman"/>
        <family val="1"/>
      </rPr>
      <t>2</t>
    </r>
  </si>
  <si>
    <t>GOLD AND SILVER INVESTMENT CO Ltd-SARL</t>
  </si>
  <si>
    <r>
      <t>15.6163 km</t>
    </r>
    <r>
      <rPr>
        <vertAlign val="superscript"/>
        <sz val="12"/>
        <color theme="1"/>
        <rFont val="Times New Roman"/>
        <family val="1"/>
      </rPr>
      <t>2</t>
    </r>
  </si>
  <si>
    <t>SOCIETE EGEC MINING SARL.</t>
  </si>
  <si>
    <r>
      <t>70.2758 km</t>
    </r>
    <r>
      <rPr>
        <vertAlign val="superscript"/>
        <sz val="12"/>
        <color theme="1"/>
        <rFont val="Times New Roman"/>
        <family val="1"/>
      </rPr>
      <t>2</t>
    </r>
  </si>
  <si>
    <r>
      <t>24.7162 km</t>
    </r>
    <r>
      <rPr>
        <vertAlign val="superscript"/>
        <sz val="12"/>
        <color theme="1"/>
        <rFont val="Times New Roman"/>
        <family val="1"/>
      </rPr>
      <t>2</t>
    </r>
  </si>
  <si>
    <r>
      <t>124.5139 km</t>
    </r>
    <r>
      <rPr>
        <vertAlign val="superscript"/>
        <sz val="12"/>
        <color theme="1"/>
        <rFont val="Times New Roman"/>
        <family val="1"/>
      </rPr>
      <t>2</t>
    </r>
  </si>
  <si>
    <t>SOCIETE KAIDA IKATA MATERIEL SARL</t>
  </si>
  <si>
    <t>PE-ID</t>
  </si>
  <si>
    <r>
      <t>13.8399 km</t>
    </r>
    <r>
      <rPr>
        <vertAlign val="superscript"/>
        <sz val="12"/>
        <color theme="1"/>
        <rFont val="Times New Roman"/>
        <family val="1"/>
      </rPr>
      <t>2</t>
    </r>
  </si>
  <si>
    <t>TRUSTACO GOLD SARLU</t>
  </si>
  <si>
    <r>
      <t>5.4527 km</t>
    </r>
    <r>
      <rPr>
        <vertAlign val="superscript"/>
        <sz val="12"/>
        <color theme="1"/>
        <rFont val="Times New Roman"/>
        <family val="1"/>
      </rPr>
      <t>2</t>
    </r>
  </si>
  <si>
    <t>ASHAPURA MINEX RESOURCES SAU (100%)</t>
  </si>
  <si>
    <r>
      <t>100.0002 km</t>
    </r>
    <r>
      <rPr>
        <vertAlign val="superscript"/>
        <sz val="12"/>
        <color theme="1"/>
        <rFont val="Times New Roman"/>
        <family val="1"/>
      </rPr>
      <t>2</t>
    </r>
  </si>
  <si>
    <t>SOCIETE BOURE SANOU</t>
  </si>
  <si>
    <r>
      <t>5.6989 km</t>
    </r>
    <r>
      <rPr>
        <vertAlign val="superscript"/>
        <sz val="12"/>
        <color theme="1"/>
        <rFont val="Times New Roman"/>
        <family val="1"/>
      </rPr>
      <t>2</t>
    </r>
  </si>
  <si>
    <t>BAUXITE KIMBO SAU (100%)</t>
  </si>
  <si>
    <r>
      <t>491.4332 km</t>
    </r>
    <r>
      <rPr>
        <vertAlign val="superscript"/>
        <sz val="12"/>
        <color theme="1"/>
        <rFont val="Times New Roman"/>
        <family val="1"/>
      </rPr>
      <t>2</t>
    </r>
  </si>
  <si>
    <t>BAUXITE KIMBO SAU</t>
  </si>
  <si>
    <r>
      <t>347.2040 km</t>
    </r>
    <r>
      <rPr>
        <vertAlign val="superscript"/>
        <sz val="12"/>
        <color theme="1"/>
        <rFont val="Times New Roman"/>
        <family val="1"/>
      </rPr>
      <t>2</t>
    </r>
  </si>
  <si>
    <t>SOCIETE LIONS HEAD RESOURCES SARL</t>
  </si>
  <si>
    <r>
      <t>15.9109 km</t>
    </r>
    <r>
      <rPr>
        <vertAlign val="superscript"/>
        <sz val="12"/>
        <color theme="1"/>
        <rFont val="Times New Roman"/>
        <family val="1"/>
      </rPr>
      <t>2</t>
    </r>
  </si>
  <si>
    <t>AXIS MINERALS RESOURCES SA (100%)</t>
  </si>
  <si>
    <r>
      <t>425.3605 km</t>
    </r>
    <r>
      <rPr>
        <vertAlign val="superscript"/>
        <sz val="12"/>
        <color theme="1"/>
        <rFont val="Times New Roman"/>
        <family val="1"/>
      </rPr>
      <t>2</t>
    </r>
  </si>
  <si>
    <t>SOCIETE GUINEAN BRAIN TOUCH SARL</t>
  </si>
  <si>
    <r>
      <t>175.5074 km</t>
    </r>
    <r>
      <rPr>
        <vertAlign val="superscript"/>
        <sz val="12"/>
        <color theme="1"/>
        <rFont val="Times New Roman"/>
        <family val="1"/>
      </rPr>
      <t>2</t>
    </r>
  </si>
  <si>
    <t>WEST AFRICAN DEVELOPMENT (100%)</t>
  </si>
  <si>
    <r>
      <t>1.8657 km</t>
    </r>
    <r>
      <rPr>
        <vertAlign val="superscript"/>
        <sz val="12"/>
        <color theme="1"/>
        <rFont val="Times New Roman"/>
        <family val="1"/>
      </rPr>
      <t>2</t>
    </r>
  </si>
  <si>
    <r>
      <t>1.7932 km</t>
    </r>
    <r>
      <rPr>
        <vertAlign val="superscript"/>
        <sz val="12"/>
        <color theme="1"/>
        <rFont val="Times New Roman"/>
        <family val="1"/>
      </rPr>
      <t>2</t>
    </r>
  </si>
  <si>
    <r>
      <t>1105.0035 km</t>
    </r>
    <r>
      <rPr>
        <vertAlign val="superscript"/>
        <sz val="12"/>
        <color theme="1"/>
        <rFont val="Times New Roman"/>
        <family val="1"/>
      </rPr>
      <t>2</t>
    </r>
  </si>
  <si>
    <t>SPIC INTERNATIONAL INVESTMENT &amp; DEVELOPMENT (GUINEA) CO., LTD</t>
  </si>
  <si>
    <r>
      <t>124.8749 km</t>
    </r>
    <r>
      <rPr>
        <vertAlign val="superscript"/>
        <sz val="12"/>
        <color theme="1"/>
        <rFont val="Times New Roman"/>
        <family val="1"/>
      </rPr>
      <t>2</t>
    </r>
  </si>
  <si>
    <r>
      <t>757.7357 km</t>
    </r>
    <r>
      <rPr>
        <vertAlign val="superscript"/>
        <sz val="12"/>
        <color theme="1"/>
        <rFont val="Times New Roman"/>
        <family val="1"/>
      </rPr>
      <t>2</t>
    </r>
  </si>
  <si>
    <r>
      <t>159.0445 km</t>
    </r>
    <r>
      <rPr>
        <vertAlign val="superscript"/>
        <sz val="12"/>
        <color theme="1"/>
        <rFont val="Times New Roman"/>
        <family val="1"/>
      </rPr>
      <t>2</t>
    </r>
  </si>
  <si>
    <t>SOCIETE GUINEENNE DES MINES (100%)</t>
  </si>
  <si>
    <r>
      <t>124.4100 km</t>
    </r>
    <r>
      <rPr>
        <vertAlign val="superscript"/>
        <sz val="12"/>
        <color theme="1"/>
        <rFont val="Times New Roman"/>
        <family val="1"/>
      </rPr>
      <t>2</t>
    </r>
  </si>
  <si>
    <t>SOCIETE XIN HONG SARL (100%)</t>
  </si>
  <si>
    <r>
      <t>3.9842 km</t>
    </r>
    <r>
      <rPr>
        <vertAlign val="superscript"/>
        <sz val="12"/>
        <color theme="1"/>
        <rFont val="Times New Roman"/>
        <family val="1"/>
      </rPr>
      <t>2</t>
    </r>
  </si>
  <si>
    <t>TAMIYANDOU KISSI MINES SARLU (100%)</t>
  </si>
  <si>
    <r>
      <t>15.0057 km</t>
    </r>
    <r>
      <rPr>
        <vertAlign val="superscript"/>
        <sz val="12"/>
        <color theme="1"/>
        <rFont val="Times New Roman"/>
        <family val="1"/>
      </rPr>
      <t>2</t>
    </r>
  </si>
  <si>
    <t>SOCIETE DYNAMIC MINING SARLU (100%)</t>
  </si>
  <si>
    <r>
      <t>123.8015 km</t>
    </r>
    <r>
      <rPr>
        <vertAlign val="superscript"/>
        <sz val="12"/>
        <color theme="1"/>
        <rFont val="Times New Roman"/>
        <family val="1"/>
      </rPr>
      <t>2</t>
    </r>
  </si>
  <si>
    <t>ALLIANCE MINIERE RESPONSABLE SARL</t>
  </si>
  <si>
    <r>
      <t>146.7687 km</t>
    </r>
    <r>
      <rPr>
        <vertAlign val="superscript"/>
        <sz val="12"/>
        <color theme="1"/>
        <rFont val="Times New Roman"/>
        <family val="1"/>
      </rPr>
      <t>2</t>
    </r>
  </si>
  <si>
    <t>SOCIETE FORWARD AFRICA RESSOURCES (100%)</t>
  </si>
  <si>
    <r>
      <t>94.4264 km</t>
    </r>
    <r>
      <rPr>
        <vertAlign val="superscript"/>
        <sz val="12"/>
        <color theme="1"/>
        <rFont val="Times New Roman"/>
        <family val="1"/>
      </rPr>
      <t>2</t>
    </r>
  </si>
  <si>
    <r>
      <t>74.2032 km</t>
    </r>
    <r>
      <rPr>
        <vertAlign val="superscript"/>
        <sz val="12"/>
        <color theme="1"/>
        <rFont val="Times New Roman"/>
        <family val="1"/>
      </rPr>
      <t>2</t>
    </r>
  </si>
  <si>
    <t>SOCIETE PINNACLE MINING SA. (100%)</t>
  </si>
  <si>
    <r>
      <t>14.3410 km</t>
    </r>
    <r>
      <rPr>
        <vertAlign val="superscript"/>
        <sz val="12"/>
        <color theme="1"/>
        <rFont val="Times New Roman"/>
        <family val="1"/>
      </rPr>
      <t>2</t>
    </r>
  </si>
  <si>
    <r>
      <t>146.2414 km</t>
    </r>
    <r>
      <rPr>
        <vertAlign val="superscript"/>
        <sz val="12"/>
        <color theme="1"/>
        <rFont val="Times New Roman"/>
        <family val="1"/>
      </rPr>
      <t>2</t>
    </r>
  </si>
  <si>
    <r>
      <t>399.1338 km</t>
    </r>
    <r>
      <rPr>
        <vertAlign val="superscript"/>
        <sz val="12"/>
        <color theme="1"/>
        <rFont val="Times New Roman"/>
        <family val="1"/>
      </rPr>
      <t>2</t>
    </r>
  </si>
  <si>
    <r>
      <t>495.3680 km</t>
    </r>
    <r>
      <rPr>
        <vertAlign val="superscript"/>
        <sz val="12"/>
        <color theme="1"/>
        <rFont val="Times New Roman"/>
        <family val="1"/>
      </rPr>
      <t>2</t>
    </r>
  </si>
  <si>
    <t>SOCIETE GOLD WATER GUINEE SARL</t>
  </si>
  <si>
    <r>
      <t>2.5141 km</t>
    </r>
    <r>
      <rPr>
        <vertAlign val="superscript"/>
        <sz val="12"/>
        <color theme="1"/>
        <rFont val="Times New Roman"/>
        <family val="1"/>
      </rPr>
      <t>2</t>
    </r>
  </si>
  <si>
    <t>DOKO GOLD MINING S.A</t>
  </si>
  <si>
    <r>
      <t>9.7271 km</t>
    </r>
    <r>
      <rPr>
        <vertAlign val="superscript"/>
        <sz val="12"/>
        <color theme="1"/>
        <rFont val="Times New Roman"/>
        <family val="1"/>
      </rPr>
      <t>2</t>
    </r>
  </si>
  <si>
    <r>
      <t>7.4433 km</t>
    </r>
    <r>
      <rPr>
        <vertAlign val="superscript"/>
        <sz val="12"/>
        <color theme="1"/>
        <rFont val="Times New Roman"/>
        <family val="1"/>
      </rPr>
      <t>2</t>
    </r>
  </si>
  <si>
    <t>SOCIETE GUINEAN GOLD EXPLORATION SARL</t>
  </si>
  <si>
    <t>Demande de Renouvellement</t>
  </si>
  <si>
    <r>
      <t>1.1975 km</t>
    </r>
    <r>
      <rPr>
        <vertAlign val="superscript"/>
        <sz val="12"/>
        <color theme="1"/>
        <rFont val="Times New Roman"/>
        <family val="1"/>
      </rPr>
      <t>2</t>
    </r>
  </si>
  <si>
    <r>
      <t>2.7912 km</t>
    </r>
    <r>
      <rPr>
        <vertAlign val="superscript"/>
        <sz val="12"/>
        <color theme="1"/>
        <rFont val="Times New Roman"/>
        <family val="1"/>
      </rPr>
      <t>2</t>
    </r>
  </si>
  <si>
    <t>SOCIETE WEST AFRICAN MINING ASSOCIATES SARL</t>
  </si>
  <si>
    <r>
      <t>0.9990 km</t>
    </r>
    <r>
      <rPr>
        <vertAlign val="superscript"/>
        <sz val="12"/>
        <color theme="1"/>
        <rFont val="Times New Roman"/>
        <family val="1"/>
      </rPr>
      <t>2</t>
    </r>
  </si>
  <si>
    <r>
      <t>1.0178 km</t>
    </r>
    <r>
      <rPr>
        <vertAlign val="superscript"/>
        <sz val="12"/>
        <color theme="1"/>
        <rFont val="Times New Roman"/>
        <family val="1"/>
      </rPr>
      <t>2</t>
    </r>
  </si>
  <si>
    <r>
      <t>1.0235 km</t>
    </r>
    <r>
      <rPr>
        <vertAlign val="superscript"/>
        <sz val="12"/>
        <color theme="1"/>
        <rFont val="Times New Roman"/>
        <family val="1"/>
      </rPr>
      <t>2</t>
    </r>
  </si>
  <si>
    <t>SOCIETE GUINEAN BIRIMIAN GOLD SARL</t>
  </si>
  <si>
    <r>
      <t>1.1349 km</t>
    </r>
    <r>
      <rPr>
        <vertAlign val="superscript"/>
        <sz val="12"/>
        <color theme="1"/>
        <rFont val="Times New Roman"/>
        <family val="1"/>
      </rPr>
      <t>2</t>
    </r>
  </si>
  <si>
    <r>
      <t>0.9832 km</t>
    </r>
    <r>
      <rPr>
        <vertAlign val="superscript"/>
        <sz val="12"/>
        <color theme="1"/>
        <rFont val="Times New Roman"/>
        <family val="1"/>
      </rPr>
      <t>2</t>
    </r>
  </si>
  <si>
    <t>WEILY MINING SA</t>
  </si>
  <si>
    <r>
      <t>115.1386 km</t>
    </r>
    <r>
      <rPr>
        <vertAlign val="superscript"/>
        <sz val="12"/>
        <color theme="1"/>
        <rFont val="Times New Roman"/>
        <family val="1"/>
      </rPr>
      <t>2</t>
    </r>
  </si>
  <si>
    <t>SOCIETE DES BAUXITES DE GUINEE S.A</t>
  </si>
  <si>
    <r>
      <t>501.5735 km</t>
    </r>
    <r>
      <rPr>
        <vertAlign val="superscript"/>
        <sz val="12"/>
        <color theme="1"/>
        <rFont val="Times New Roman"/>
        <family val="1"/>
      </rPr>
      <t>2</t>
    </r>
  </si>
  <si>
    <r>
      <t>304.5000 km</t>
    </r>
    <r>
      <rPr>
        <vertAlign val="superscript"/>
        <sz val="12"/>
        <color theme="1"/>
        <rFont val="Times New Roman"/>
        <family val="1"/>
      </rPr>
      <t>2</t>
    </r>
  </si>
  <si>
    <t>SOCIETE DES MINES DE MANDIANA S.A</t>
  </si>
  <si>
    <r>
      <t>15.1235 km</t>
    </r>
    <r>
      <rPr>
        <vertAlign val="superscript"/>
        <sz val="12"/>
        <color theme="1"/>
        <rFont val="Times New Roman"/>
        <family val="1"/>
      </rPr>
      <t>2</t>
    </r>
  </si>
  <si>
    <r>
      <t>12.1067 km</t>
    </r>
    <r>
      <rPr>
        <vertAlign val="superscript"/>
        <sz val="12"/>
        <color theme="1"/>
        <rFont val="Times New Roman"/>
        <family val="1"/>
      </rPr>
      <t>2</t>
    </r>
  </si>
  <si>
    <t>WEST AFRICA EXPLORATION S.A</t>
  </si>
  <si>
    <r>
      <t>22.8384 km</t>
    </r>
    <r>
      <rPr>
        <vertAlign val="superscript"/>
        <sz val="12"/>
        <color theme="1"/>
        <rFont val="Times New Roman"/>
        <family val="1"/>
      </rPr>
      <t>2</t>
    </r>
  </si>
  <si>
    <t>SOCIETE BEL AIR MINING SAS</t>
  </si>
  <si>
    <r>
      <t>146.5947 km</t>
    </r>
    <r>
      <rPr>
        <vertAlign val="superscript"/>
        <sz val="12"/>
        <color theme="1"/>
        <rFont val="Times New Roman"/>
        <family val="1"/>
      </rPr>
      <t>2</t>
    </r>
  </si>
  <si>
    <t>SOCIETE GENIE CIVIL GUINEE SARL</t>
  </si>
  <si>
    <r>
      <t>499.4933 km</t>
    </r>
    <r>
      <rPr>
        <vertAlign val="superscript"/>
        <sz val="12"/>
        <color theme="1"/>
        <rFont val="Times New Roman"/>
        <family val="1"/>
      </rPr>
      <t>2</t>
    </r>
  </si>
  <si>
    <t>SOCIETE BELZONE HOLDINGS Pty Ltd</t>
  </si>
  <si>
    <r>
      <t>1381.7364 km</t>
    </r>
    <r>
      <rPr>
        <vertAlign val="superscript"/>
        <sz val="12"/>
        <color theme="1"/>
        <rFont val="Times New Roman"/>
        <family val="1"/>
      </rPr>
      <t>2</t>
    </r>
  </si>
  <si>
    <t>ALLIANCE MINING COMMODITIES</t>
  </si>
  <si>
    <r>
      <t>727.9970 km</t>
    </r>
    <r>
      <rPr>
        <vertAlign val="superscript"/>
        <sz val="12"/>
        <color theme="1"/>
        <rFont val="Times New Roman"/>
        <family val="1"/>
      </rPr>
      <t>2</t>
    </r>
  </si>
  <si>
    <t>SOCIETE HENAN-CHINE</t>
  </si>
  <si>
    <r>
      <t>486.4405 km</t>
    </r>
    <r>
      <rPr>
        <vertAlign val="superscript"/>
        <sz val="12"/>
        <color theme="1"/>
        <rFont val="Times New Roman"/>
        <family val="1"/>
      </rPr>
      <t>2</t>
    </r>
  </si>
  <si>
    <r>
      <t>202.3731 km</t>
    </r>
    <r>
      <rPr>
        <vertAlign val="superscript"/>
        <sz val="12"/>
        <color theme="1"/>
        <rFont val="Times New Roman"/>
        <family val="1"/>
      </rPr>
      <t>2</t>
    </r>
  </si>
  <si>
    <r>
      <t>293.3486 km</t>
    </r>
    <r>
      <rPr>
        <vertAlign val="superscript"/>
        <sz val="12"/>
        <color theme="1"/>
        <rFont val="Times New Roman"/>
        <family val="1"/>
      </rPr>
      <t>2</t>
    </r>
  </si>
  <si>
    <t>Aluminium Company of Guinea</t>
  </si>
  <si>
    <r>
      <t>1776.2500 km</t>
    </r>
    <r>
      <rPr>
        <vertAlign val="superscript"/>
        <sz val="12"/>
        <color theme="1"/>
        <rFont val="Times New Roman"/>
        <family val="1"/>
      </rPr>
      <t>2</t>
    </r>
  </si>
  <si>
    <r>
      <t>578.5500 km</t>
    </r>
    <r>
      <rPr>
        <vertAlign val="superscript"/>
        <sz val="12"/>
        <color theme="1"/>
        <rFont val="Times New Roman"/>
        <family val="1"/>
      </rPr>
      <t>2</t>
    </r>
  </si>
  <si>
    <r>
      <t>95.5066 km</t>
    </r>
    <r>
      <rPr>
        <vertAlign val="superscript"/>
        <sz val="12"/>
        <color theme="1"/>
        <rFont val="Times New Roman"/>
        <family val="1"/>
      </rPr>
      <t>2</t>
    </r>
  </si>
  <si>
    <r>
      <t>37.8479 km</t>
    </r>
    <r>
      <rPr>
        <vertAlign val="superscript"/>
        <sz val="12"/>
        <color theme="1"/>
        <rFont val="Times New Roman"/>
        <family val="1"/>
      </rPr>
      <t>2</t>
    </r>
  </si>
  <si>
    <r>
      <t>292.0413 km</t>
    </r>
    <r>
      <rPr>
        <vertAlign val="superscript"/>
        <sz val="12"/>
        <color theme="1"/>
        <rFont val="Times New Roman"/>
        <family val="1"/>
      </rPr>
      <t>2</t>
    </r>
  </si>
  <si>
    <t>MIRAGE KEBO ENERGY - SAU</t>
  </si>
  <si>
    <r>
      <t>204.3671 km</t>
    </r>
    <r>
      <rPr>
        <vertAlign val="superscript"/>
        <sz val="12"/>
        <color theme="1"/>
        <rFont val="Times New Roman"/>
        <family val="1"/>
      </rPr>
      <t>2</t>
    </r>
  </si>
  <si>
    <t>Graphite</t>
  </si>
  <si>
    <r>
      <t>94.3812 km</t>
    </r>
    <r>
      <rPr>
        <vertAlign val="superscript"/>
        <sz val="12"/>
        <color theme="1"/>
        <rFont val="Times New Roman"/>
        <family val="1"/>
      </rPr>
      <t>2</t>
    </r>
  </si>
  <si>
    <t>PHOENIX GBT SARL (100%)</t>
  </si>
  <si>
    <r>
      <t>0.5281 km</t>
    </r>
    <r>
      <rPr>
        <vertAlign val="superscript"/>
        <sz val="12"/>
        <color theme="1"/>
        <rFont val="Times New Roman"/>
        <family val="1"/>
      </rPr>
      <t>2</t>
    </r>
  </si>
  <si>
    <t>HONG XING MINING GUINEE SARL</t>
  </si>
  <si>
    <r>
      <t>15.9956 km</t>
    </r>
    <r>
      <rPr>
        <vertAlign val="superscript"/>
        <sz val="12"/>
        <color theme="1"/>
        <rFont val="Times New Roman"/>
        <family val="1"/>
      </rPr>
      <t>2</t>
    </r>
  </si>
  <si>
    <t>SOCIETE R &amp; R SARLU (100%)</t>
  </si>
  <si>
    <r>
      <t>7.5177 km</t>
    </r>
    <r>
      <rPr>
        <vertAlign val="superscript"/>
        <sz val="12"/>
        <color theme="1"/>
        <rFont val="Times New Roman"/>
        <family val="1"/>
      </rPr>
      <t>2</t>
    </r>
  </si>
  <si>
    <t>MACI MINING SARL (100%)</t>
  </si>
  <si>
    <r>
      <t>1.3520 km</t>
    </r>
    <r>
      <rPr>
        <vertAlign val="superscript"/>
        <sz val="12"/>
        <color theme="1"/>
        <rFont val="Times New Roman"/>
        <family val="1"/>
      </rPr>
      <t>2</t>
    </r>
  </si>
  <si>
    <t>CHALCO GUINEA COMPANY SA</t>
  </si>
  <si>
    <r>
      <t>653.5551 km</t>
    </r>
    <r>
      <rPr>
        <vertAlign val="superscript"/>
        <sz val="12"/>
        <color theme="1"/>
        <rFont val="Times New Roman"/>
        <family val="1"/>
      </rPr>
      <t>2</t>
    </r>
  </si>
  <si>
    <r>
      <t>594.6099 km</t>
    </r>
    <r>
      <rPr>
        <vertAlign val="superscript"/>
        <sz val="12"/>
        <color theme="1"/>
        <rFont val="Times New Roman"/>
        <family val="1"/>
      </rPr>
      <t>2</t>
    </r>
  </si>
  <si>
    <t>I&amp;J DIAMONDS SARL</t>
  </si>
  <si>
    <r>
      <t>4.6155 km</t>
    </r>
    <r>
      <rPr>
        <vertAlign val="superscript"/>
        <sz val="12"/>
        <color theme="1"/>
        <rFont val="Times New Roman"/>
        <family val="1"/>
      </rPr>
      <t>2</t>
    </r>
  </si>
  <si>
    <t>COMPAGNIE DES BAUXITES DE KINDIA (CBK)</t>
  </si>
  <si>
    <r>
      <t>344.8528 km</t>
    </r>
    <r>
      <rPr>
        <vertAlign val="superscript"/>
        <sz val="12"/>
        <color theme="1"/>
        <rFont val="Times New Roman"/>
        <family val="1"/>
      </rPr>
      <t>2</t>
    </r>
  </si>
  <si>
    <r>
      <t>0.9833 km</t>
    </r>
    <r>
      <rPr>
        <vertAlign val="superscript"/>
        <sz val="12"/>
        <color theme="1"/>
        <rFont val="Times New Roman"/>
        <family val="1"/>
      </rPr>
      <t>2</t>
    </r>
  </si>
  <si>
    <t>SIMFER S.A.</t>
  </si>
  <si>
    <r>
      <t>369.9111 km</t>
    </r>
    <r>
      <rPr>
        <vertAlign val="superscript"/>
        <sz val="12"/>
        <color theme="1"/>
        <rFont val="Times New Roman"/>
        <family val="1"/>
      </rPr>
      <t>2</t>
    </r>
  </si>
  <si>
    <t>SOCIETE EURONIMBA</t>
  </si>
  <si>
    <r>
      <t>5.5599 km</t>
    </r>
    <r>
      <rPr>
        <vertAlign val="superscript"/>
        <sz val="12"/>
        <color theme="1"/>
        <rFont val="Times New Roman"/>
        <family val="1"/>
      </rPr>
      <t>2</t>
    </r>
  </si>
  <si>
    <r>
      <t>1138.9249 km</t>
    </r>
    <r>
      <rPr>
        <vertAlign val="superscript"/>
        <sz val="12"/>
        <color theme="1"/>
        <rFont val="Times New Roman"/>
        <family val="1"/>
      </rPr>
      <t>2</t>
    </r>
  </si>
  <si>
    <t>SOCIETE MINIERE DE COBILY SARL</t>
  </si>
  <si>
    <r>
      <t>26.2268 km</t>
    </r>
    <r>
      <rPr>
        <vertAlign val="superscript"/>
        <sz val="12"/>
        <color theme="1"/>
        <rFont val="Times New Roman"/>
        <family val="1"/>
      </rPr>
      <t>2</t>
    </r>
  </si>
  <si>
    <t>SOCIETE AXIS BUSINESS MANAGEMENT &amp; GROUP SARLU</t>
  </si>
  <si>
    <r>
      <t>99.9295 km</t>
    </r>
    <r>
      <rPr>
        <vertAlign val="superscript"/>
        <sz val="12"/>
        <color theme="1"/>
        <rFont val="Times New Roman"/>
        <family val="1"/>
      </rPr>
      <t>2</t>
    </r>
  </si>
  <si>
    <t>IAMGOLD EXPLORATION MALI SARL</t>
  </si>
  <si>
    <r>
      <t>99.0839 km</t>
    </r>
    <r>
      <rPr>
        <vertAlign val="superscript"/>
        <sz val="12"/>
        <color theme="1"/>
        <rFont val="Times New Roman"/>
        <family val="1"/>
      </rPr>
      <t>2</t>
    </r>
  </si>
  <si>
    <r>
      <t>98.9800 km</t>
    </r>
    <r>
      <rPr>
        <vertAlign val="superscript"/>
        <sz val="12"/>
        <color theme="1"/>
        <rFont val="Times New Roman"/>
        <family val="1"/>
      </rPr>
      <t>2</t>
    </r>
  </si>
  <si>
    <r>
      <t>94.9306 km</t>
    </r>
    <r>
      <rPr>
        <vertAlign val="superscript"/>
        <sz val="12"/>
        <color theme="1"/>
        <rFont val="Times New Roman"/>
        <family val="1"/>
      </rPr>
      <t>2</t>
    </r>
  </si>
  <si>
    <r>
      <t>98.0946 km</t>
    </r>
    <r>
      <rPr>
        <vertAlign val="superscript"/>
        <sz val="12"/>
        <color theme="1"/>
        <rFont val="Times New Roman"/>
        <family val="1"/>
      </rPr>
      <t>2</t>
    </r>
  </si>
  <si>
    <r>
      <t>95.1077 km</t>
    </r>
    <r>
      <rPr>
        <vertAlign val="superscript"/>
        <sz val="12"/>
        <color theme="1"/>
        <rFont val="Times New Roman"/>
        <family val="1"/>
      </rPr>
      <t>2</t>
    </r>
  </si>
  <si>
    <t>SOCIETE GGM SARL</t>
  </si>
  <si>
    <r>
      <t>99.4130 km</t>
    </r>
    <r>
      <rPr>
        <vertAlign val="superscript"/>
        <sz val="12"/>
        <color theme="1"/>
        <rFont val="Times New Roman"/>
        <family val="1"/>
      </rPr>
      <t>2</t>
    </r>
  </si>
  <si>
    <t>CHINA CIVIL ENGINEERING CONSTRUCTION CORPORATION GUINEE -SUCC (100%)</t>
  </si>
  <si>
    <t>AECT</t>
  </si>
  <si>
    <t>Laterite</t>
  </si>
  <si>
    <t>2.1095 Ha</t>
  </si>
  <si>
    <t>SOCIETE WEST AFRICAN TITANIUM Ltd</t>
  </si>
  <si>
    <t>Sables Noirs</t>
  </si>
  <si>
    <r>
      <t>27.1036 km</t>
    </r>
    <r>
      <rPr>
        <vertAlign val="superscript"/>
        <sz val="12"/>
        <color theme="1"/>
        <rFont val="Times New Roman"/>
        <family val="1"/>
      </rPr>
      <t>2</t>
    </r>
  </si>
  <si>
    <r>
      <t>99.4032 km</t>
    </r>
    <r>
      <rPr>
        <vertAlign val="superscript"/>
        <sz val="12"/>
        <color theme="1"/>
        <rFont val="Times New Roman"/>
        <family val="1"/>
      </rPr>
      <t>2</t>
    </r>
  </si>
  <si>
    <t>SOCIETE NETWORK BYTES SARL</t>
  </si>
  <si>
    <t>Minéraux associés, Sables Noirs</t>
  </si>
  <si>
    <r>
      <t>18.8414 km</t>
    </r>
    <r>
      <rPr>
        <vertAlign val="superscript"/>
        <sz val="12"/>
        <color theme="1"/>
        <rFont val="Times New Roman"/>
        <family val="1"/>
      </rPr>
      <t>2</t>
    </r>
  </si>
  <si>
    <t>NEW ENGLANG MINING -SARLU</t>
  </si>
  <si>
    <r>
      <t>41.5332 km</t>
    </r>
    <r>
      <rPr>
        <vertAlign val="superscript"/>
        <sz val="12"/>
        <color theme="1"/>
        <rFont val="Times New Roman"/>
        <family val="1"/>
      </rPr>
      <t>2</t>
    </r>
  </si>
  <si>
    <t>LONDON HOPE MINING - SARLU</t>
  </si>
  <si>
    <r>
      <t>98.8145 km</t>
    </r>
    <r>
      <rPr>
        <vertAlign val="superscript"/>
        <sz val="12"/>
        <color theme="1"/>
        <rFont val="Times New Roman"/>
        <family val="1"/>
      </rPr>
      <t>2</t>
    </r>
  </si>
  <si>
    <t>GROUPEMENT DE COOPERATION INTERNATIONALE HENAN-CHINE-GUINEE-SA</t>
  </si>
  <si>
    <t>Granite</t>
  </si>
  <si>
    <t>4.0050 Ha</t>
  </si>
  <si>
    <t>1.6854 Ha</t>
  </si>
  <si>
    <t>SCETCHG HUAIAN</t>
  </si>
  <si>
    <t>ARC</t>
  </si>
  <si>
    <t>3.0770 Ha</t>
  </si>
  <si>
    <t>GROUPE GENERAL NATIONAL POUR DEVELOPPEMENT EN GUINEE (100%)</t>
  </si>
  <si>
    <t>5.9685 Ha</t>
  </si>
  <si>
    <t>SOCIETE GENTA GUINEA RESOURCES SA</t>
  </si>
  <si>
    <r>
      <t>52.6270 km</t>
    </r>
    <r>
      <rPr>
        <vertAlign val="superscript"/>
        <sz val="12"/>
        <color theme="1"/>
        <rFont val="Times New Roman"/>
        <family val="1"/>
      </rPr>
      <t>2</t>
    </r>
  </si>
  <si>
    <r>
      <t>37.4382 km</t>
    </r>
    <r>
      <rPr>
        <vertAlign val="superscript"/>
        <sz val="12"/>
        <color theme="1"/>
        <rFont val="Times New Roman"/>
        <family val="1"/>
      </rPr>
      <t>2</t>
    </r>
  </si>
  <si>
    <t>CHINE 666 MININGLIMITED SARL</t>
  </si>
  <si>
    <t>Dolorite</t>
  </si>
  <si>
    <t>4.9531 Ha</t>
  </si>
  <si>
    <t>ETECO MINING SARL (100%)</t>
  </si>
  <si>
    <r>
      <t>90.9873 km</t>
    </r>
    <r>
      <rPr>
        <vertAlign val="superscript"/>
        <sz val="12"/>
        <color theme="1"/>
        <rFont val="Times New Roman"/>
        <family val="1"/>
      </rPr>
      <t>2</t>
    </r>
  </si>
  <si>
    <r>
      <t>91.3936 km</t>
    </r>
    <r>
      <rPr>
        <vertAlign val="superscript"/>
        <sz val="12"/>
        <color theme="1"/>
        <rFont val="Times New Roman"/>
        <family val="1"/>
      </rPr>
      <t>2</t>
    </r>
  </si>
  <si>
    <t>SOCIETE MINERALIS GOLD MINES SARLU</t>
  </si>
  <si>
    <r>
      <t>65.0132 km</t>
    </r>
    <r>
      <rPr>
        <vertAlign val="superscript"/>
        <sz val="12"/>
        <color theme="1"/>
        <rFont val="Times New Roman"/>
        <family val="1"/>
      </rPr>
      <t>2</t>
    </r>
  </si>
  <si>
    <t>SOCIETE MINERALIS BAUXITE MINES SARLU</t>
  </si>
  <si>
    <r>
      <t>496.0562 km</t>
    </r>
    <r>
      <rPr>
        <vertAlign val="superscript"/>
        <sz val="12"/>
        <color theme="1"/>
        <rFont val="Times New Roman"/>
        <family val="1"/>
      </rPr>
      <t>2</t>
    </r>
  </si>
  <si>
    <t>SOCIETE YAM'S MINING SA</t>
  </si>
  <si>
    <r>
      <t>38.3073 km</t>
    </r>
    <r>
      <rPr>
        <vertAlign val="superscript"/>
        <sz val="12"/>
        <color theme="1"/>
        <rFont val="Times New Roman"/>
        <family val="1"/>
      </rPr>
      <t>2</t>
    </r>
  </si>
  <si>
    <r>
      <t>92.9833 km</t>
    </r>
    <r>
      <rPr>
        <vertAlign val="superscript"/>
        <sz val="12"/>
        <color theme="1"/>
        <rFont val="Times New Roman"/>
        <family val="1"/>
      </rPr>
      <t>2</t>
    </r>
  </si>
  <si>
    <t>SOCIETE GUINEA IRON AND METAL SARL</t>
  </si>
  <si>
    <t>PR-I (Fer)</t>
  </si>
  <si>
    <r>
      <t>289.9189 km</t>
    </r>
    <r>
      <rPr>
        <vertAlign val="superscript"/>
        <sz val="12"/>
        <color theme="1"/>
        <rFont val="Times New Roman"/>
        <family val="1"/>
      </rPr>
      <t>2</t>
    </r>
  </si>
  <si>
    <t>SOCIETE MINERALFIELDS GUINEA SARLU</t>
  </si>
  <si>
    <r>
      <t>490.1962 km</t>
    </r>
    <r>
      <rPr>
        <vertAlign val="superscript"/>
        <sz val="12"/>
        <color theme="1"/>
        <rFont val="Times New Roman"/>
        <family val="1"/>
      </rPr>
      <t>2</t>
    </r>
  </si>
  <si>
    <t>SOCIETE GROUPE FARABANA SA</t>
  </si>
  <si>
    <r>
      <t>309.4424 km</t>
    </r>
    <r>
      <rPr>
        <vertAlign val="superscript"/>
        <sz val="12"/>
        <color theme="1"/>
        <rFont val="Times New Roman"/>
        <family val="1"/>
      </rPr>
      <t>2</t>
    </r>
  </si>
  <si>
    <r>
      <t>46.8146 km</t>
    </r>
    <r>
      <rPr>
        <vertAlign val="superscript"/>
        <sz val="12"/>
        <color theme="1"/>
        <rFont val="Times New Roman"/>
        <family val="1"/>
      </rPr>
      <t>2</t>
    </r>
  </si>
  <si>
    <r>
      <t>44.7860 km</t>
    </r>
    <r>
      <rPr>
        <vertAlign val="superscript"/>
        <sz val="12"/>
        <color theme="1"/>
        <rFont val="Times New Roman"/>
        <family val="1"/>
      </rPr>
      <t>2</t>
    </r>
  </si>
  <si>
    <t>GUITER SA</t>
  </si>
  <si>
    <t>14.5889 Ha</t>
  </si>
  <si>
    <t>SOCIETE SACOL CONSTRUCTION SARL</t>
  </si>
  <si>
    <t>0.4821 Ha</t>
  </si>
  <si>
    <t>SOCIETE PHOENIX PRECIOUS METALS SARLU</t>
  </si>
  <si>
    <r>
      <t>84.3254 km</t>
    </r>
    <r>
      <rPr>
        <vertAlign val="superscript"/>
        <sz val="12"/>
        <color theme="1"/>
        <rFont val="Times New Roman"/>
        <family val="1"/>
      </rPr>
      <t>2</t>
    </r>
  </si>
  <si>
    <t>SOCIETE DONGHONG ENGINEERING INTERNATIONAL SARL</t>
  </si>
  <si>
    <r>
      <t>78.4934 km</t>
    </r>
    <r>
      <rPr>
        <vertAlign val="superscript"/>
        <sz val="12"/>
        <color theme="1"/>
        <rFont val="Times New Roman"/>
        <family val="1"/>
      </rPr>
      <t>2</t>
    </r>
  </si>
  <si>
    <t>SOCIETE KATAMON MINING SARL</t>
  </si>
  <si>
    <r>
      <t>68.8566 km</t>
    </r>
    <r>
      <rPr>
        <vertAlign val="superscript"/>
        <sz val="12"/>
        <color theme="1"/>
        <rFont val="Times New Roman"/>
        <family val="1"/>
      </rPr>
      <t>2</t>
    </r>
  </si>
  <si>
    <t>SOCIETE SABOUGNOUMA DE TOUBA SARL</t>
  </si>
  <si>
    <t>PR-I (Autre Substances)</t>
  </si>
  <si>
    <t>Calcaire</t>
  </si>
  <si>
    <r>
      <t>95.8000 km</t>
    </r>
    <r>
      <rPr>
        <vertAlign val="superscript"/>
        <sz val="12"/>
        <color theme="1"/>
        <rFont val="Times New Roman"/>
        <family val="1"/>
      </rPr>
      <t>2</t>
    </r>
  </si>
  <si>
    <t>SOCIETE ZHONG TIAN MINING GUINEE SARL</t>
  </si>
  <si>
    <r>
      <t>72.0904 km</t>
    </r>
    <r>
      <rPr>
        <vertAlign val="superscript"/>
        <sz val="12"/>
        <color theme="1"/>
        <rFont val="Times New Roman"/>
        <family val="1"/>
      </rPr>
      <t>2</t>
    </r>
  </si>
  <si>
    <r>
      <t>99.8459 km</t>
    </r>
    <r>
      <rPr>
        <vertAlign val="superscript"/>
        <sz val="12"/>
        <color theme="1"/>
        <rFont val="Times New Roman"/>
        <family val="1"/>
      </rPr>
      <t>2</t>
    </r>
  </si>
  <si>
    <t>SOCIETE LENA LIMITED SARL</t>
  </si>
  <si>
    <t>PR-I (Diamant et Pierres Gemmes)</t>
  </si>
  <si>
    <r>
      <t>86.8090 km</t>
    </r>
    <r>
      <rPr>
        <vertAlign val="superscript"/>
        <sz val="12"/>
        <color theme="1"/>
        <rFont val="Times New Roman"/>
        <family val="1"/>
      </rPr>
      <t>2</t>
    </r>
  </si>
  <si>
    <t>COMPAGNIE D'INVESTISSEMENT DES MINES CHINA MACHINERY KAIYUAN GUINEE SARLU</t>
  </si>
  <si>
    <r>
      <t>90.5399 km</t>
    </r>
    <r>
      <rPr>
        <vertAlign val="superscript"/>
        <sz val="12"/>
        <color theme="1"/>
        <rFont val="Times New Roman"/>
        <family val="1"/>
      </rPr>
      <t>2</t>
    </r>
  </si>
  <si>
    <r>
      <t>92.6855 km</t>
    </r>
    <r>
      <rPr>
        <vertAlign val="superscript"/>
        <sz val="12"/>
        <color theme="1"/>
        <rFont val="Times New Roman"/>
        <family val="1"/>
      </rPr>
      <t>2</t>
    </r>
  </si>
  <si>
    <t>SOGUIPAMI SA</t>
  </si>
  <si>
    <r>
      <t>20.4747 km</t>
    </r>
    <r>
      <rPr>
        <vertAlign val="superscript"/>
        <sz val="12"/>
        <color theme="1"/>
        <rFont val="Times New Roman"/>
        <family val="1"/>
      </rPr>
      <t>2</t>
    </r>
  </si>
  <si>
    <t>SWR INTERNATIONAL SARL (100%)</t>
  </si>
  <si>
    <r>
      <t>99.1605 km</t>
    </r>
    <r>
      <rPr>
        <vertAlign val="superscript"/>
        <sz val="12"/>
        <color theme="1"/>
        <rFont val="Times New Roman"/>
        <family val="1"/>
      </rPr>
      <t>2</t>
    </r>
  </si>
  <si>
    <t>SOCIETE DAVID DIAMANTS - SARL (100%)</t>
  </si>
  <si>
    <r>
      <t>44.9871 km</t>
    </r>
    <r>
      <rPr>
        <vertAlign val="superscript"/>
        <sz val="12"/>
        <color theme="1"/>
        <rFont val="Times New Roman"/>
        <family val="1"/>
      </rPr>
      <t>2</t>
    </r>
  </si>
  <si>
    <t>SOCIETE DE GESTION ET DE CONSTRUCTION GUINEENNE SARLU (100%)</t>
  </si>
  <si>
    <t>2.9870 Ha</t>
  </si>
  <si>
    <t>LARIAND MINING SARL</t>
  </si>
  <si>
    <r>
      <t>99.6572 km</t>
    </r>
    <r>
      <rPr>
        <vertAlign val="superscript"/>
        <sz val="12"/>
        <color theme="1"/>
        <rFont val="Times New Roman"/>
        <family val="1"/>
      </rPr>
      <t>2</t>
    </r>
  </si>
  <si>
    <t>SOCIETE TROPICALE DE GRANITE SARLU</t>
  </si>
  <si>
    <t>10.3305 Ha</t>
  </si>
  <si>
    <t>SOCIETE SACKO INGENIERIE &amp; CONSTRUCTION SARLU (100%)</t>
  </si>
  <si>
    <r>
      <t>81.1307 km</t>
    </r>
    <r>
      <rPr>
        <vertAlign val="superscript"/>
        <sz val="12"/>
        <color theme="1"/>
        <rFont val="Times New Roman"/>
        <family val="1"/>
      </rPr>
      <t>2</t>
    </r>
  </si>
  <si>
    <t>SOCIETE BARRY CHERIF ENTREPRISE</t>
  </si>
  <si>
    <t>0.5536 Ha</t>
  </si>
  <si>
    <t>SOCIETE MANQUEPAS AGRO MINING SARL</t>
  </si>
  <si>
    <r>
      <t>98.7164 km</t>
    </r>
    <r>
      <rPr>
        <vertAlign val="superscript"/>
        <sz val="12"/>
        <color theme="1"/>
        <rFont val="Times New Roman"/>
        <family val="1"/>
      </rPr>
      <t>2</t>
    </r>
  </si>
  <si>
    <t>BENKADY GUINEE SARL</t>
  </si>
  <si>
    <r>
      <t>63.9532 km</t>
    </r>
    <r>
      <rPr>
        <vertAlign val="superscript"/>
        <sz val="12"/>
        <color theme="1"/>
        <rFont val="Times New Roman"/>
        <family val="1"/>
      </rPr>
      <t>2</t>
    </r>
  </si>
  <si>
    <t>SOCIETE SIGUIRI GOLD (GUINEE) SAU</t>
  </si>
  <si>
    <r>
      <t>76.0870 km</t>
    </r>
    <r>
      <rPr>
        <vertAlign val="superscript"/>
        <sz val="12"/>
        <color theme="1"/>
        <rFont val="Times New Roman"/>
        <family val="1"/>
      </rPr>
      <t>2</t>
    </r>
  </si>
  <si>
    <t>SOCIETE GUINEE GOLD SHOVEL SARLU</t>
  </si>
  <si>
    <r>
      <t>34.9543 km</t>
    </r>
    <r>
      <rPr>
        <vertAlign val="superscript"/>
        <sz val="12"/>
        <color theme="1"/>
        <rFont val="Times New Roman"/>
        <family val="1"/>
      </rPr>
      <t>2</t>
    </r>
  </si>
  <si>
    <t>SOCIETE QUALITY CONSTRUCTION AND MINING SERVICES SARL</t>
  </si>
  <si>
    <r>
      <t>37.7035 km</t>
    </r>
    <r>
      <rPr>
        <vertAlign val="superscript"/>
        <sz val="12"/>
        <color theme="1"/>
        <rFont val="Times New Roman"/>
        <family val="1"/>
      </rPr>
      <t>2</t>
    </r>
  </si>
  <si>
    <t>SOCIETE GUINEENNE D'EXPLOITATION DE RESSOURCES MINIERES SARL</t>
  </si>
  <si>
    <t>1.1477 Ha</t>
  </si>
  <si>
    <t>SOCIETE GUILOM SARL</t>
  </si>
  <si>
    <t>14.6501 Ha</t>
  </si>
  <si>
    <t>SOREX SA</t>
  </si>
  <si>
    <r>
      <t>243.3949 km</t>
    </r>
    <r>
      <rPr>
        <vertAlign val="superscript"/>
        <sz val="12"/>
        <color theme="1"/>
        <rFont val="Times New Roman"/>
        <family val="1"/>
      </rPr>
      <t>2</t>
    </r>
  </si>
  <si>
    <t>BEYLA MINING &amp; MINERALS SARLU</t>
  </si>
  <si>
    <r>
      <t>480.6347 km</t>
    </r>
    <r>
      <rPr>
        <vertAlign val="superscript"/>
        <sz val="12"/>
        <color theme="1"/>
        <rFont val="Times New Roman"/>
        <family val="1"/>
      </rPr>
      <t>2</t>
    </r>
  </si>
  <si>
    <r>
      <t>278.7964 km</t>
    </r>
    <r>
      <rPr>
        <vertAlign val="superscript"/>
        <sz val="12"/>
        <color theme="1"/>
        <rFont val="Times New Roman"/>
        <family val="1"/>
      </rPr>
      <t>2</t>
    </r>
  </si>
  <si>
    <t>Minéraux associés, Or</t>
  </si>
  <si>
    <r>
      <t>29.5972 km</t>
    </r>
    <r>
      <rPr>
        <vertAlign val="superscript"/>
        <sz val="12"/>
        <color theme="1"/>
        <rFont val="Times New Roman"/>
        <family val="1"/>
      </rPr>
      <t>2</t>
    </r>
  </si>
  <si>
    <r>
      <t>74.5003 km</t>
    </r>
    <r>
      <rPr>
        <vertAlign val="superscript"/>
        <sz val="12"/>
        <color theme="1"/>
        <rFont val="Times New Roman"/>
        <family val="1"/>
      </rPr>
      <t>2</t>
    </r>
  </si>
  <si>
    <t>SOCIETE ORISHA RESSOURCES SARLU</t>
  </si>
  <si>
    <r>
      <t>22.9820 km</t>
    </r>
    <r>
      <rPr>
        <vertAlign val="superscript"/>
        <sz val="12"/>
        <color theme="1"/>
        <rFont val="Times New Roman"/>
        <family val="1"/>
      </rPr>
      <t>2</t>
    </r>
  </si>
  <si>
    <r>
      <t>63.6768 km</t>
    </r>
    <r>
      <rPr>
        <vertAlign val="superscript"/>
        <sz val="12"/>
        <color theme="1"/>
        <rFont val="Times New Roman"/>
        <family val="1"/>
      </rPr>
      <t>2</t>
    </r>
  </si>
  <si>
    <t>SOCIETE LENGUEE KOTO MINING SARLU</t>
  </si>
  <si>
    <r>
      <t>94.4361 km</t>
    </r>
    <r>
      <rPr>
        <vertAlign val="superscript"/>
        <sz val="12"/>
        <color theme="1"/>
        <rFont val="Times New Roman"/>
        <family val="1"/>
      </rPr>
      <t>2</t>
    </r>
  </si>
  <si>
    <t>SOCIETE MOLI MINING EXPLORATION &amp; MINING SERVICES SARL</t>
  </si>
  <si>
    <t>PR-I (Métaux de Base)</t>
  </si>
  <si>
    <r>
      <t>98.5553 km</t>
    </r>
    <r>
      <rPr>
        <vertAlign val="superscript"/>
        <sz val="12"/>
        <color theme="1"/>
        <rFont val="Times New Roman"/>
        <family val="1"/>
      </rPr>
      <t>2</t>
    </r>
  </si>
  <si>
    <t>SOCIETE INTERNATIONAL TRADING BUSINESS SARLU</t>
  </si>
  <si>
    <r>
      <t>90.1145 km</t>
    </r>
    <r>
      <rPr>
        <vertAlign val="superscript"/>
        <sz val="12"/>
        <color theme="1"/>
        <rFont val="Times New Roman"/>
        <family val="1"/>
      </rPr>
      <t>2</t>
    </r>
  </si>
  <si>
    <t>Demande de Prolongation</t>
  </si>
  <si>
    <r>
      <t>118.2242 km</t>
    </r>
    <r>
      <rPr>
        <vertAlign val="superscript"/>
        <sz val="12"/>
        <color theme="1"/>
        <rFont val="Times New Roman"/>
        <family val="1"/>
      </rPr>
      <t>2</t>
    </r>
  </si>
  <si>
    <t>SEKE GOLD MINING SA</t>
  </si>
  <si>
    <r>
      <t>54.0451 km</t>
    </r>
    <r>
      <rPr>
        <vertAlign val="superscript"/>
        <sz val="12"/>
        <color theme="1"/>
        <rFont val="Times New Roman"/>
        <family val="1"/>
      </rPr>
      <t>2</t>
    </r>
  </si>
  <si>
    <r>
      <t>226.0334 km</t>
    </r>
    <r>
      <rPr>
        <vertAlign val="superscript"/>
        <sz val="12"/>
        <color theme="1"/>
        <rFont val="Times New Roman"/>
        <family val="1"/>
      </rPr>
      <t>2</t>
    </r>
  </si>
  <si>
    <t>SOCIETE AFRICAN GLOBAL MINERALS SARLU</t>
  </si>
  <si>
    <r>
      <t>60.3327 km</t>
    </r>
    <r>
      <rPr>
        <vertAlign val="superscript"/>
        <sz val="12"/>
        <color theme="1"/>
        <rFont val="Times New Roman"/>
        <family val="1"/>
      </rPr>
      <t>2</t>
    </r>
  </si>
  <si>
    <t>SOCIETE MINERAL SANDS CONSULTANTS SARL</t>
  </si>
  <si>
    <t>Ilménites, Rutile, Zircon</t>
  </si>
  <si>
    <r>
      <t>109.6834 km</t>
    </r>
    <r>
      <rPr>
        <vertAlign val="superscript"/>
        <sz val="12"/>
        <color theme="1"/>
        <rFont val="Times New Roman"/>
        <family val="1"/>
      </rPr>
      <t>2</t>
    </r>
  </si>
  <si>
    <r>
      <t>212.1989 km</t>
    </r>
    <r>
      <rPr>
        <vertAlign val="superscript"/>
        <sz val="12"/>
        <color theme="1"/>
        <rFont val="Times New Roman"/>
        <family val="1"/>
      </rPr>
      <t>2</t>
    </r>
  </si>
  <si>
    <r>
      <t>139.8342 km</t>
    </r>
    <r>
      <rPr>
        <vertAlign val="superscript"/>
        <sz val="12"/>
        <color theme="1"/>
        <rFont val="Times New Roman"/>
        <family val="1"/>
      </rPr>
      <t>2</t>
    </r>
  </si>
  <si>
    <t>SOCIETE SUNREEF RESOURCES SARLU</t>
  </si>
  <si>
    <r>
      <t>60.2097 km</t>
    </r>
    <r>
      <rPr>
        <vertAlign val="superscript"/>
        <sz val="12"/>
        <color theme="1"/>
        <rFont val="Times New Roman"/>
        <family val="1"/>
      </rPr>
      <t>2</t>
    </r>
  </si>
  <si>
    <t>SOCIETE CASH GUINEE MINING SERVICES SARLU</t>
  </si>
  <si>
    <t>2.0162 Ha</t>
  </si>
  <si>
    <r>
      <t>99.8343 km</t>
    </r>
    <r>
      <rPr>
        <vertAlign val="superscript"/>
        <sz val="12"/>
        <color theme="1"/>
        <rFont val="Times New Roman"/>
        <family val="1"/>
      </rPr>
      <t>2</t>
    </r>
  </si>
  <si>
    <t>Sable</t>
  </si>
  <si>
    <t>0.9991 Ha</t>
  </si>
  <si>
    <t>SOCIETE SOLUTIONS C MINING SARL</t>
  </si>
  <si>
    <r>
      <t>498.9924 km</t>
    </r>
    <r>
      <rPr>
        <vertAlign val="superscript"/>
        <sz val="12"/>
        <color theme="1"/>
        <rFont val="Times New Roman"/>
        <family val="1"/>
      </rPr>
      <t>2</t>
    </r>
  </si>
  <si>
    <t>SOCIETE GUINEAN GOLD EXPLORATION SARLU</t>
  </si>
  <si>
    <r>
      <t>60.6796 km</t>
    </r>
    <r>
      <rPr>
        <vertAlign val="superscript"/>
        <sz val="12"/>
        <color theme="1"/>
        <rFont val="Times New Roman"/>
        <family val="1"/>
      </rPr>
      <t>2</t>
    </r>
  </si>
  <si>
    <t>SOCIETE GUINEO MALIENNE D'OR SARL</t>
  </si>
  <si>
    <r>
      <t>99.8883 km</t>
    </r>
    <r>
      <rPr>
        <vertAlign val="superscript"/>
        <sz val="12"/>
        <color theme="1"/>
        <rFont val="Times New Roman"/>
        <family val="1"/>
      </rPr>
      <t>2</t>
    </r>
  </si>
  <si>
    <t>SOCIETE FUTUR RESSOURCES SARLU</t>
  </si>
  <si>
    <t>Diamant, Diamant alluvionnaire, Diamant primaire</t>
  </si>
  <si>
    <r>
      <t>15.0667 km</t>
    </r>
    <r>
      <rPr>
        <vertAlign val="superscript"/>
        <sz val="12"/>
        <color theme="1"/>
        <rFont val="Times New Roman"/>
        <family val="1"/>
      </rPr>
      <t>2</t>
    </r>
  </si>
  <si>
    <r>
      <t>96.3812 km</t>
    </r>
    <r>
      <rPr>
        <vertAlign val="superscript"/>
        <sz val="12"/>
        <color theme="1"/>
        <rFont val="Times New Roman"/>
        <family val="1"/>
      </rPr>
      <t>2</t>
    </r>
  </si>
  <si>
    <t>SOCIETE 79TH LUSSO MANDIANA SARLU</t>
  </si>
  <si>
    <r>
      <t>41.2362 km</t>
    </r>
    <r>
      <rPr>
        <vertAlign val="superscript"/>
        <sz val="12"/>
        <color theme="1"/>
        <rFont val="Times New Roman"/>
        <family val="1"/>
      </rPr>
      <t>2</t>
    </r>
  </si>
  <si>
    <t>SOCIETE 79TH LUSSO NORTH SARLU</t>
  </si>
  <si>
    <r>
      <t>48.4678 km</t>
    </r>
    <r>
      <rPr>
        <vertAlign val="superscript"/>
        <sz val="12"/>
        <color theme="1"/>
        <rFont val="Times New Roman"/>
        <family val="1"/>
      </rPr>
      <t>2</t>
    </r>
  </si>
  <si>
    <r>
      <t>65.6297 km</t>
    </r>
    <r>
      <rPr>
        <vertAlign val="superscript"/>
        <sz val="12"/>
        <color theme="1"/>
        <rFont val="Times New Roman"/>
        <family val="1"/>
      </rPr>
      <t>2</t>
    </r>
  </si>
  <si>
    <t>SOCIETE 79TH LUSSO SOUTH SARLU</t>
  </si>
  <si>
    <r>
      <t>44.7782 km</t>
    </r>
    <r>
      <rPr>
        <vertAlign val="superscript"/>
        <sz val="12"/>
        <color theme="1"/>
        <rFont val="Times New Roman"/>
        <family val="1"/>
      </rPr>
      <t>2</t>
    </r>
  </si>
  <si>
    <t>VETRO GOLD SARL (100%)</t>
  </si>
  <si>
    <r>
      <t>49.7867 km</t>
    </r>
    <r>
      <rPr>
        <vertAlign val="superscript"/>
        <sz val="12"/>
        <color theme="1"/>
        <rFont val="Times New Roman"/>
        <family val="1"/>
      </rPr>
      <t>2</t>
    </r>
  </si>
  <si>
    <t>SOCIETE PELFACO GUINEA LIMITED S.A (100%)</t>
  </si>
  <si>
    <r>
      <t>251.9299 km</t>
    </r>
    <r>
      <rPr>
        <vertAlign val="superscript"/>
        <sz val="12"/>
        <color theme="1"/>
        <rFont val="Times New Roman"/>
        <family val="1"/>
      </rPr>
      <t>2</t>
    </r>
  </si>
  <si>
    <t>XINJIANG TBEA GROUP CO.LTD (100%)</t>
  </si>
  <si>
    <r>
      <t>49.9338 km</t>
    </r>
    <r>
      <rPr>
        <vertAlign val="superscript"/>
        <sz val="12"/>
        <color theme="1"/>
        <rFont val="Times New Roman"/>
        <family val="1"/>
      </rPr>
      <t>2</t>
    </r>
  </si>
  <si>
    <r>
      <t>51.4295 km</t>
    </r>
    <r>
      <rPr>
        <vertAlign val="superscript"/>
        <sz val="12"/>
        <color theme="1"/>
        <rFont val="Times New Roman"/>
        <family val="1"/>
      </rPr>
      <t>2</t>
    </r>
  </si>
  <si>
    <t>SOCIETE OFFICE MA SARLU</t>
  </si>
  <si>
    <r>
      <t>56.7033 km</t>
    </r>
    <r>
      <rPr>
        <vertAlign val="superscript"/>
        <sz val="12"/>
        <color theme="1"/>
        <rFont val="Times New Roman"/>
        <family val="1"/>
      </rPr>
      <t>2</t>
    </r>
  </si>
  <si>
    <t>SOCIETE FANKAMA MINING &amp; CONSTRUCTION</t>
  </si>
  <si>
    <r>
      <t>94.5799 km</t>
    </r>
    <r>
      <rPr>
        <vertAlign val="superscript"/>
        <sz val="12"/>
        <color theme="1"/>
        <rFont val="Times New Roman"/>
        <family val="1"/>
      </rPr>
      <t>2</t>
    </r>
  </si>
  <si>
    <t>KEBO ENERGY SA (100%)</t>
  </si>
  <si>
    <r>
      <t>47.0787 km</t>
    </r>
    <r>
      <rPr>
        <vertAlign val="superscript"/>
        <sz val="12"/>
        <color theme="1"/>
        <rFont val="Times New Roman"/>
        <family val="1"/>
      </rPr>
      <t>2</t>
    </r>
  </si>
  <si>
    <t>GUINEE MINING &amp; TP SARL (100%)</t>
  </si>
  <si>
    <r>
      <t>38.7159 km</t>
    </r>
    <r>
      <rPr>
        <vertAlign val="superscript"/>
        <sz val="12"/>
        <color theme="1"/>
        <rFont val="Times New Roman"/>
        <family val="1"/>
      </rPr>
      <t>2</t>
    </r>
  </si>
  <si>
    <t>IMPACT AFRICA SARL</t>
  </si>
  <si>
    <r>
      <t>24.0330 km</t>
    </r>
    <r>
      <rPr>
        <vertAlign val="superscript"/>
        <sz val="12"/>
        <color theme="1"/>
        <rFont val="Times New Roman"/>
        <family val="1"/>
      </rPr>
      <t>2</t>
    </r>
  </si>
  <si>
    <t>SOCIETE HYPRO MINING SARL</t>
  </si>
  <si>
    <r>
      <t>10.7022 km</t>
    </r>
    <r>
      <rPr>
        <vertAlign val="superscript"/>
        <sz val="12"/>
        <color theme="1"/>
        <rFont val="Times New Roman"/>
        <family val="1"/>
      </rPr>
      <t>2</t>
    </r>
  </si>
  <si>
    <t>SIRAMAMBA MINING SARLU</t>
  </si>
  <si>
    <r>
      <t>20.2691 km</t>
    </r>
    <r>
      <rPr>
        <vertAlign val="superscript"/>
        <sz val="12"/>
        <color theme="1"/>
        <rFont val="Times New Roman"/>
        <family val="1"/>
      </rPr>
      <t>2</t>
    </r>
  </si>
  <si>
    <r>
      <t>38.2116 km</t>
    </r>
    <r>
      <rPr>
        <vertAlign val="superscript"/>
        <sz val="12"/>
        <color theme="1"/>
        <rFont val="Times New Roman"/>
        <family val="1"/>
      </rPr>
      <t>2</t>
    </r>
  </si>
  <si>
    <r>
      <t>31.7721 km</t>
    </r>
    <r>
      <rPr>
        <vertAlign val="superscript"/>
        <sz val="12"/>
        <color theme="1"/>
        <rFont val="Times New Roman"/>
        <family val="1"/>
      </rPr>
      <t>2</t>
    </r>
  </si>
  <si>
    <t>SPECTRUM HOLDING LIMITED</t>
  </si>
  <si>
    <r>
      <t>64.8240 km</t>
    </r>
    <r>
      <rPr>
        <vertAlign val="superscript"/>
        <sz val="12"/>
        <color theme="1"/>
        <rFont val="Times New Roman"/>
        <family val="1"/>
      </rPr>
      <t>2</t>
    </r>
  </si>
  <si>
    <t>SOCIETE TMK MINING SA.</t>
  </si>
  <si>
    <r>
      <t>50.6074 km</t>
    </r>
    <r>
      <rPr>
        <vertAlign val="superscript"/>
        <sz val="12"/>
        <color theme="1"/>
        <rFont val="Times New Roman"/>
        <family val="1"/>
      </rPr>
      <t>2</t>
    </r>
  </si>
  <si>
    <r>
      <t>38.9528 km</t>
    </r>
    <r>
      <rPr>
        <vertAlign val="superscript"/>
        <sz val="12"/>
        <color theme="1"/>
        <rFont val="Times New Roman"/>
        <family val="1"/>
      </rPr>
      <t>2</t>
    </r>
  </si>
  <si>
    <t>SOCIETE SANSANDO GOLD FIELD SARLU</t>
  </si>
  <si>
    <r>
      <t>99.8487 km</t>
    </r>
    <r>
      <rPr>
        <vertAlign val="superscript"/>
        <sz val="12"/>
        <color theme="1"/>
        <rFont val="Times New Roman"/>
        <family val="1"/>
      </rPr>
      <t>2</t>
    </r>
  </si>
  <si>
    <t>10.5041 Ha</t>
  </si>
  <si>
    <t>SOCIETE DJOMA MINING</t>
  </si>
  <si>
    <r>
      <t>98.8982 km</t>
    </r>
    <r>
      <rPr>
        <vertAlign val="superscript"/>
        <sz val="12"/>
        <color theme="1"/>
        <rFont val="Times New Roman"/>
        <family val="1"/>
      </rPr>
      <t>2</t>
    </r>
  </si>
  <si>
    <t>2.1418 Ha</t>
  </si>
  <si>
    <t>SOCIÉTÉ PROSIS MINING GUINEE SARLU</t>
  </si>
  <si>
    <r>
      <t>60.2333 km</t>
    </r>
    <r>
      <rPr>
        <vertAlign val="superscript"/>
        <sz val="12"/>
        <color theme="1"/>
        <rFont val="Times New Roman"/>
        <family val="1"/>
      </rPr>
      <t>2</t>
    </r>
  </si>
  <si>
    <r>
      <t>50.7752 km</t>
    </r>
    <r>
      <rPr>
        <vertAlign val="superscript"/>
        <sz val="12"/>
        <color theme="1"/>
        <rFont val="Times New Roman"/>
        <family val="1"/>
      </rPr>
      <t>2</t>
    </r>
  </si>
  <si>
    <r>
      <t>97.0129 km</t>
    </r>
    <r>
      <rPr>
        <vertAlign val="superscript"/>
        <sz val="12"/>
        <color theme="1"/>
        <rFont val="Times New Roman"/>
        <family val="1"/>
      </rPr>
      <t>2</t>
    </r>
  </si>
  <si>
    <r>
      <t>25.5255 km</t>
    </r>
    <r>
      <rPr>
        <vertAlign val="superscript"/>
        <sz val="12"/>
        <color theme="1"/>
        <rFont val="Times New Roman"/>
        <family val="1"/>
      </rPr>
      <t>2</t>
    </r>
  </si>
  <si>
    <r>
      <t>43.1953 km</t>
    </r>
    <r>
      <rPr>
        <vertAlign val="superscript"/>
        <sz val="12"/>
        <color theme="1"/>
        <rFont val="Times New Roman"/>
        <family val="1"/>
      </rPr>
      <t>2</t>
    </r>
  </si>
  <si>
    <t>TORO GOLD LTD (100%)</t>
  </si>
  <si>
    <r>
      <t>75.1748 km</t>
    </r>
    <r>
      <rPr>
        <vertAlign val="superscript"/>
        <sz val="12"/>
        <color theme="1"/>
        <rFont val="Times New Roman"/>
        <family val="1"/>
      </rPr>
      <t>2</t>
    </r>
  </si>
  <si>
    <r>
      <t>93.2179 km</t>
    </r>
    <r>
      <rPr>
        <vertAlign val="superscript"/>
        <sz val="12"/>
        <color theme="1"/>
        <rFont val="Times New Roman"/>
        <family val="1"/>
      </rPr>
      <t>2</t>
    </r>
  </si>
  <si>
    <r>
      <t>99.2021 km</t>
    </r>
    <r>
      <rPr>
        <vertAlign val="superscript"/>
        <sz val="12"/>
        <color theme="1"/>
        <rFont val="Times New Roman"/>
        <family val="1"/>
      </rPr>
      <t>2</t>
    </r>
  </si>
  <si>
    <t>SOCIETE COMPAGNIE FRANCE GUINEE SARLU</t>
  </si>
  <si>
    <r>
      <t>71.8484 km</t>
    </r>
    <r>
      <rPr>
        <vertAlign val="superscript"/>
        <sz val="12"/>
        <color theme="1"/>
        <rFont val="Times New Roman"/>
        <family val="1"/>
      </rPr>
      <t>2</t>
    </r>
  </si>
  <si>
    <t>SOCIETE GUINEENNE DE BETON SARLU</t>
  </si>
  <si>
    <t>2.0296 Ha</t>
  </si>
  <si>
    <t>SOCIETE WEI HENG MINING SARL</t>
  </si>
  <si>
    <r>
      <t>219.7039 km</t>
    </r>
    <r>
      <rPr>
        <vertAlign val="superscript"/>
        <sz val="12"/>
        <color theme="1"/>
        <rFont val="Times New Roman"/>
        <family val="1"/>
      </rPr>
      <t>2</t>
    </r>
  </si>
  <si>
    <r>
      <t>99.4947 km</t>
    </r>
    <r>
      <rPr>
        <vertAlign val="superscript"/>
        <sz val="12"/>
        <color theme="1"/>
        <rFont val="Times New Roman"/>
        <family val="1"/>
      </rPr>
      <t>2</t>
    </r>
  </si>
  <si>
    <r>
      <t>99.6725 km</t>
    </r>
    <r>
      <rPr>
        <vertAlign val="superscript"/>
        <sz val="12"/>
        <color theme="1"/>
        <rFont val="Times New Roman"/>
        <family val="1"/>
      </rPr>
      <t>2</t>
    </r>
  </si>
  <si>
    <t>SOCIETE GROUPE NATIONAL POUR LE DEVELOPPEMENT EN GUINEE</t>
  </si>
  <si>
    <r>
      <t>77.1145 km</t>
    </r>
    <r>
      <rPr>
        <vertAlign val="superscript"/>
        <sz val="12"/>
        <color theme="1"/>
        <rFont val="Times New Roman"/>
        <family val="1"/>
      </rPr>
      <t>2</t>
    </r>
  </si>
  <si>
    <t>BENKADY GUINEE SARL (100%)</t>
  </si>
  <si>
    <r>
      <t>50.7445 km</t>
    </r>
    <r>
      <rPr>
        <vertAlign val="superscript"/>
        <sz val="12"/>
        <color theme="1"/>
        <rFont val="Times New Roman"/>
        <family val="1"/>
      </rPr>
      <t>2</t>
    </r>
  </si>
  <si>
    <t>SOCIETE GROUPE NOTRE VISION SARL</t>
  </si>
  <si>
    <t>3.7234 Ha</t>
  </si>
  <si>
    <r>
      <t>237.0079 km</t>
    </r>
    <r>
      <rPr>
        <vertAlign val="superscript"/>
        <sz val="12"/>
        <color theme="1"/>
        <rFont val="Times New Roman"/>
        <family val="1"/>
      </rPr>
      <t>2</t>
    </r>
  </si>
  <si>
    <r>
      <t>235.7684 km</t>
    </r>
    <r>
      <rPr>
        <vertAlign val="superscript"/>
        <sz val="12"/>
        <color theme="1"/>
        <rFont val="Times New Roman"/>
        <family val="1"/>
      </rPr>
      <t>2</t>
    </r>
  </si>
  <si>
    <r>
      <t>242.5883 km</t>
    </r>
    <r>
      <rPr>
        <vertAlign val="superscript"/>
        <sz val="12"/>
        <color theme="1"/>
        <rFont val="Times New Roman"/>
        <family val="1"/>
      </rPr>
      <t>2</t>
    </r>
  </si>
  <si>
    <t>SPECTRUM HOLDING LIMITED (100%)</t>
  </si>
  <si>
    <r>
      <t>30.7521 km</t>
    </r>
    <r>
      <rPr>
        <vertAlign val="superscript"/>
        <sz val="12"/>
        <color theme="1"/>
        <rFont val="Times New Roman"/>
        <family val="1"/>
      </rPr>
      <t>2</t>
    </r>
  </si>
  <si>
    <t>SOCIETE MINIERE DIOMA SARLU</t>
  </si>
  <si>
    <r>
      <t>94.0626 km</t>
    </r>
    <r>
      <rPr>
        <vertAlign val="superscript"/>
        <sz val="12"/>
        <color theme="1"/>
        <rFont val="Times New Roman"/>
        <family val="1"/>
      </rPr>
      <t>2</t>
    </r>
  </si>
  <si>
    <r>
      <t>99.1303 km</t>
    </r>
    <r>
      <rPr>
        <vertAlign val="superscript"/>
        <sz val="12"/>
        <color theme="1"/>
        <rFont val="Times New Roman"/>
        <family val="1"/>
      </rPr>
      <t>2</t>
    </r>
  </si>
  <si>
    <r>
      <t>99.3894 km</t>
    </r>
    <r>
      <rPr>
        <vertAlign val="superscript"/>
        <sz val="12"/>
        <color theme="1"/>
        <rFont val="Times New Roman"/>
        <family val="1"/>
      </rPr>
      <t>2</t>
    </r>
  </si>
  <si>
    <t>SOCIETE ODHAV MULTI INDUSTRIES SA</t>
  </si>
  <si>
    <r>
      <t>265.5762 km</t>
    </r>
    <r>
      <rPr>
        <vertAlign val="superscript"/>
        <sz val="12"/>
        <color theme="1"/>
        <rFont val="Times New Roman"/>
        <family val="1"/>
      </rPr>
      <t>2</t>
    </r>
  </si>
  <si>
    <t>SOCIETE MINES DE GUINEE SA</t>
  </si>
  <si>
    <r>
      <t>474.0111 km</t>
    </r>
    <r>
      <rPr>
        <vertAlign val="superscript"/>
        <sz val="12"/>
        <color theme="1"/>
        <rFont val="Times New Roman"/>
        <family val="1"/>
      </rPr>
      <t>2</t>
    </r>
  </si>
  <si>
    <t>SOCIETE WOSSOLO MINING SARLU</t>
  </si>
  <si>
    <t>3.3231 Ha</t>
  </si>
  <si>
    <t>ANGLOGOLD ASHANTI DE GUINEE SA.</t>
  </si>
  <si>
    <r>
      <t>32.7041 km</t>
    </r>
    <r>
      <rPr>
        <vertAlign val="superscript"/>
        <sz val="12"/>
        <color theme="1"/>
        <rFont val="Times New Roman"/>
        <family val="1"/>
      </rPr>
      <t>2</t>
    </r>
  </si>
  <si>
    <t>SUPER MAN BUSINESS COMPANY SARLU (100%)</t>
  </si>
  <si>
    <r>
      <t>42.7349 km</t>
    </r>
    <r>
      <rPr>
        <vertAlign val="superscript"/>
        <sz val="12"/>
        <color theme="1"/>
        <rFont val="Times New Roman"/>
        <family val="1"/>
      </rPr>
      <t>2</t>
    </r>
  </si>
  <si>
    <t>SOCIETE ZHICHENG GUINEE MINING SARL</t>
  </si>
  <si>
    <r>
      <t>114.6457 km</t>
    </r>
    <r>
      <rPr>
        <vertAlign val="superscript"/>
        <sz val="12"/>
        <color theme="1"/>
        <rFont val="Times New Roman"/>
        <family val="1"/>
      </rPr>
      <t>2</t>
    </r>
  </si>
  <si>
    <r>
      <t>324.4012 km</t>
    </r>
    <r>
      <rPr>
        <vertAlign val="superscript"/>
        <sz val="12"/>
        <color theme="1"/>
        <rFont val="Times New Roman"/>
        <family val="1"/>
      </rPr>
      <t>2</t>
    </r>
  </si>
  <si>
    <r>
      <t>13.6212 km</t>
    </r>
    <r>
      <rPr>
        <vertAlign val="superscript"/>
        <sz val="12"/>
        <color theme="1"/>
        <rFont val="Times New Roman"/>
        <family val="1"/>
      </rPr>
      <t>2</t>
    </r>
  </si>
  <si>
    <t>8.8303 Ha</t>
  </si>
  <si>
    <t>SOGUIPAMI SA (100%)</t>
  </si>
  <si>
    <r>
      <t>57.1326 km</t>
    </r>
    <r>
      <rPr>
        <vertAlign val="superscript"/>
        <sz val="12"/>
        <color theme="1"/>
        <rFont val="Times New Roman"/>
        <family val="1"/>
      </rPr>
      <t>2</t>
    </r>
  </si>
  <si>
    <r>
      <t>52.1730 km</t>
    </r>
    <r>
      <rPr>
        <vertAlign val="superscript"/>
        <sz val="12"/>
        <color theme="1"/>
        <rFont val="Times New Roman"/>
        <family val="1"/>
      </rPr>
      <t>2</t>
    </r>
  </si>
  <si>
    <t>MADAROM GOLD GUINEE SARL (100%)</t>
  </si>
  <si>
    <r>
      <t>10.5264 km</t>
    </r>
    <r>
      <rPr>
        <vertAlign val="superscript"/>
        <sz val="12"/>
        <color theme="1"/>
        <rFont val="Times New Roman"/>
        <family val="1"/>
      </rPr>
      <t>2</t>
    </r>
  </si>
  <si>
    <t>GUINNERA SARL (100%)</t>
  </si>
  <si>
    <r>
      <t>13.9122 km</t>
    </r>
    <r>
      <rPr>
        <vertAlign val="superscript"/>
        <sz val="12"/>
        <color theme="1"/>
        <rFont val="Times New Roman"/>
        <family val="1"/>
      </rPr>
      <t>2</t>
    </r>
  </si>
  <si>
    <t>SOCIETE GUINEE ATLANTIQUE INDUSTRIE SARL</t>
  </si>
  <si>
    <r>
      <t>87.6865 km</t>
    </r>
    <r>
      <rPr>
        <vertAlign val="superscript"/>
        <sz val="12"/>
        <color theme="1"/>
        <rFont val="Times New Roman"/>
        <family val="1"/>
      </rPr>
      <t>2</t>
    </r>
  </si>
  <si>
    <r>
      <t>99.9959 km</t>
    </r>
    <r>
      <rPr>
        <vertAlign val="superscript"/>
        <sz val="12"/>
        <color theme="1"/>
        <rFont val="Times New Roman"/>
        <family val="1"/>
      </rPr>
      <t>2</t>
    </r>
  </si>
  <si>
    <t>SOCIETE AFRICAN INTERNATIONAL PARTENERSHIP SAS</t>
  </si>
  <si>
    <r>
      <t>397.6590 km</t>
    </r>
    <r>
      <rPr>
        <vertAlign val="superscript"/>
        <sz val="12"/>
        <color theme="1"/>
        <rFont val="Times New Roman"/>
        <family val="1"/>
      </rPr>
      <t>2</t>
    </r>
  </si>
  <si>
    <t>SOCIETE SHANGHAI PU-ZHEN SARLU</t>
  </si>
  <si>
    <t>3.0288 Ha</t>
  </si>
  <si>
    <t>VETRO GUINEA RESOURCES SA (100%)</t>
  </si>
  <si>
    <r>
      <t>23.7323 km</t>
    </r>
    <r>
      <rPr>
        <vertAlign val="superscript"/>
        <sz val="12"/>
        <color theme="1"/>
        <rFont val="Times New Roman"/>
        <family val="1"/>
      </rPr>
      <t>2</t>
    </r>
  </si>
  <si>
    <t>SOCIETE SAM SARL</t>
  </si>
  <si>
    <t>16.3817 Ha</t>
  </si>
  <si>
    <t>GOLD AND SILVER INVESTMENT CO Ltd-SARL (100%)</t>
  </si>
  <si>
    <r>
      <t>82.7888 km</t>
    </r>
    <r>
      <rPr>
        <vertAlign val="superscript"/>
        <sz val="12"/>
        <color theme="1"/>
        <rFont val="Times New Roman"/>
        <family val="1"/>
      </rPr>
      <t>2</t>
    </r>
  </si>
  <si>
    <r>
      <t>75.4302 km</t>
    </r>
    <r>
      <rPr>
        <vertAlign val="superscript"/>
        <sz val="12"/>
        <color theme="1"/>
        <rFont val="Times New Roman"/>
        <family val="1"/>
      </rPr>
      <t>2</t>
    </r>
  </si>
  <si>
    <t>SOCIETE HAMILTON MINING MARKETING SARL</t>
  </si>
  <si>
    <r>
      <t>53.3019 km</t>
    </r>
    <r>
      <rPr>
        <vertAlign val="superscript"/>
        <sz val="12"/>
        <color theme="1"/>
        <rFont val="Times New Roman"/>
        <family val="1"/>
      </rPr>
      <t>2</t>
    </r>
  </si>
  <si>
    <t>16.0589 Ha</t>
  </si>
  <si>
    <t>1.4410 Ha</t>
  </si>
  <si>
    <t>SOCIETE ALLIANCE LOGISTIQUE TRANSPORT SARL</t>
  </si>
  <si>
    <t>4.7562 Ha</t>
  </si>
  <si>
    <t>SOCIETE MB ENTREPRISE GIE</t>
  </si>
  <si>
    <t>5.8204 Ha</t>
  </si>
  <si>
    <t>10.8411 Ha</t>
  </si>
  <si>
    <t>3.8727 Ha</t>
  </si>
  <si>
    <t>SOCIETE MINIERE-DRAGAGE-SO-MI-DRA</t>
  </si>
  <si>
    <r>
      <t>130.2092 km</t>
    </r>
    <r>
      <rPr>
        <vertAlign val="superscript"/>
        <sz val="12"/>
        <color theme="1"/>
        <rFont val="Times New Roman"/>
        <family val="1"/>
      </rPr>
      <t>2</t>
    </r>
  </si>
  <si>
    <t>SOCIETE TRADEMERCE INTERNATIONAL GROUP SARLU</t>
  </si>
  <si>
    <r>
      <t>99.5835 km</t>
    </r>
    <r>
      <rPr>
        <vertAlign val="superscript"/>
        <sz val="12"/>
        <color theme="1"/>
        <rFont val="Times New Roman"/>
        <family val="1"/>
      </rPr>
      <t>2</t>
    </r>
  </si>
  <si>
    <t>SOCIETE WOULA NATURAL RESSOURCES</t>
  </si>
  <si>
    <r>
      <t>357.0000 km</t>
    </r>
    <r>
      <rPr>
        <vertAlign val="superscript"/>
        <sz val="12"/>
        <color theme="1"/>
        <rFont val="Times New Roman"/>
        <family val="1"/>
      </rPr>
      <t>2</t>
    </r>
  </si>
  <si>
    <t>SOCIETE R R SKY INFRA SARL</t>
  </si>
  <si>
    <r>
      <t>99.7733 km</t>
    </r>
    <r>
      <rPr>
        <vertAlign val="superscript"/>
        <sz val="12"/>
        <color theme="1"/>
        <rFont val="Times New Roman"/>
        <family val="1"/>
      </rPr>
      <t>2</t>
    </r>
  </si>
  <si>
    <r>
      <t>96.9431 km</t>
    </r>
    <r>
      <rPr>
        <vertAlign val="superscript"/>
        <sz val="12"/>
        <color theme="1"/>
        <rFont val="Times New Roman"/>
        <family val="1"/>
      </rPr>
      <t>2</t>
    </r>
  </si>
  <si>
    <t>SOCIETE RAM RAJ ENGINEERING SARL</t>
  </si>
  <si>
    <r>
      <t>55.3401 km</t>
    </r>
    <r>
      <rPr>
        <vertAlign val="superscript"/>
        <sz val="12"/>
        <color theme="1"/>
        <rFont val="Times New Roman"/>
        <family val="1"/>
      </rPr>
      <t>2</t>
    </r>
  </si>
  <si>
    <r>
      <t>99.4881 km</t>
    </r>
    <r>
      <rPr>
        <vertAlign val="superscript"/>
        <sz val="12"/>
        <color theme="1"/>
        <rFont val="Times New Roman"/>
        <family val="1"/>
      </rPr>
      <t>2</t>
    </r>
  </si>
  <si>
    <t>SOCIETE D'EXPLORATION DE MANDIANA SAU (100%)</t>
  </si>
  <si>
    <r>
      <t>92.9111 km</t>
    </r>
    <r>
      <rPr>
        <vertAlign val="superscript"/>
        <sz val="12"/>
        <color theme="1"/>
        <rFont val="Times New Roman"/>
        <family val="1"/>
      </rPr>
      <t>2</t>
    </r>
  </si>
  <si>
    <r>
      <t>86.5680 km</t>
    </r>
    <r>
      <rPr>
        <vertAlign val="superscript"/>
        <sz val="12"/>
        <color theme="1"/>
        <rFont val="Times New Roman"/>
        <family val="1"/>
      </rPr>
      <t>2</t>
    </r>
  </si>
  <si>
    <r>
      <t>99.4162 km</t>
    </r>
    <r>
      <rPr>
        <vertAlign val="superscript"/>
        <sz val="12"/>
        <color theme="1"/>
        <rFont val="Times New Roman"/>
        <family val="1"/>
      </rPr>
      <t>2</t>
    </r>
  </si>
  <si>
    <r>
      <t>79.7061 km</t>
    </r>
    <r>
      <rPr>
        <vertAlign val="superscript"/>
        <sz val="12"/>
        <color theme="1"/>
        <rFont val="Times New Roman"/>
        <family val="1"/>
      </rPr>
      <t>2</t>
    </r>
  </si>
  <si>
    <r>
      <t>98.3895 km</t>
    </r>
    <r>
      <rPr>
        <vertAlign val="superscript"/>
        <sz val="12"/>
        <color theme="1"/>
        <rFont val="Times New Roman"/>
        <family val="1"/>
      </rPr>
      <t>2</t>
    </r>
  </si>
  <si>
    <t>NA GLOBAL REALTY &amp; INVESTMENT LTD SUCC</t>
  </si>
  <si>
    <r>
      <t>99.9676 km</t>
    </r>
    <r>
      <rPr>
        <vertAlign val="superscript"/>
        <sz val="12"/>
        <color theme="1"/>
        <rFont val="Times New Roman"/>
        <family val="1"/>
      </rPr>
      <t>2</t>
    </r>
  </si>
  <si>
    <r>
      <t>97.1193 km</t>
    </r>
    <r>
      <rPr>
        <vertAlign val="superscript"/>
        <sz val="12"/>
        <color theme="1"/>
        <rFont val="Times New Roman"/>
        <family val="1"/>
      </rPr>
      <t>2</t>
    </r>
  </si>
  <si>
    <r>
      <t>63.5275 km</t>
    </r>
    <r>
      <rPr>
        <vertAlign val="superscript"/>
        <sz val="12"/>
        <color theme="1"/>
        <rFont val="Times New Roman"/>
        <family val="1"/>
      </rPr>
      <t>2</t>
    </r>
  </si>
  <si>
    <t>SOCIETE XCELL SECURITY &amp; FINANCE GUINEA SA</t>
  </si>
  <si>
    <r>
      <t>53.4783 km</t>
    </r>
    <r>
      <rPr>
        <vertAlign val="superscript"/>
        <sz val="12"/>
        <color theme="1"/>
        <rFont val="Times New Roman"/>
        <family val="1"/>
      </rPr>
      <t>2</t>
    </r>
  </si>
  <si>
    <t>SOCIETE GUINEE ORIGINALE CO. LTD SARL</t>
  </si>
  <si>
    <t>1.9345 Ha</t>
  </si>
  <si>
    <r>
      <t>29.6409 km</t>
    </r>
    <r>
      <rPr>
        <vertAlign val="superscript"/>
        <sz val="12"/>
        <color theme="1"/>
        <rFont val="Times New Roman"/>
        <family val="1"/>
      </rPr>
      <t>2</t>
    </r>
  </si>
  <si>
    <t>SOCIETE INTERNATIONAL INVESMENT INSTITUTE GLOBAL SARL</t>
  </si>
  <si>
    <r>
      <t>499.8032 km</t>
    </r>
    <r>
      <rPr>
        <vertAlign val="superscript"/>
        <sz val="12"/>
        <color theme="1"/>
        <rFont val="Times New Roman"/>
        <family val="1"/>
      </rPr>
      <t>2</t>
    </r>
  </si>
  <si>
    <r>
      <t>96.0392 km</t>
    </r>
    <r>
      <rPr>
        <vertAlign val="superscript"/>
        <sz val="12"/>
        <color theme="1"/>
        <rFont val="Times New Roman"/>
        <family val="1"/>
      </rPr>
      <t>2</t>
    </r>
  </si>
  <si>
    <r>
      <t>10.8283 km</t>
    </r>
    <r>
      <rPr>
        <vertAlign val="superscript"/>
        <sz val="12"/>
        <color theme="1"/>
        <rFont val="Times New Roman"/>
        <family val="1"/>
      </rPr>
      <t>2</t>
    </r>
  </si>
  <si>
    <t>SOCIETE GUINEENNE DE PRESTATION ET DE CONSTRUCTION SA</t>
  </si>
  <si>
    <r>
      <t>88.3420 km</t>
    </r>
    <r>
      <rPr>
        <vertAlign val="superscript"/>
        <sz val="12"/>
        <color theme="1"/>
        <rFont val="Times New Roman"/>
        <family val="1"/>
      </rPr>
      <t>2</t>
    </r>
  </si>
  <si>
    <r>
      <t>58.8007 km</t>
    </r>
    <r>
      <rPr>
        <vertAlign val="superscript"/>
        <sz val="12"/>
        <color theme="1"/>
        <rFont val="Times New Roman"/>
        <family val="1"/>
      </rPr>
      <t>2</t>
    </r>
  </si>
  <si>
    <r>
      <t>99.9958 km</t>
    </r>
    <r>
      <rPr>
        <vertAlign val="superscript"/>
        <sz val="12"/>
        <color theme="1"/>
        <rFont val="Times New Roman"/>
        <family val="1"/>
      </rPr>
      <t>2</t>
    </r>
  </si>
  <si>
    <r>
      <t>99.3414 km</t>
    </r>
    <r>
      <rPr>
        <vertAlign val="superscript"/>
        <sz val="12"/>
        <color theme="1"/>
        <rFont val="Times New Roman"/>
        <family val="1"/>
      </rPr>
      <t>2</t>
    </r>
  </si>
  <si>
    <t>BLUE STAR SARL</t>
  </si>
  <si>
    <r>
      <t>43.7432 km</t>
    </r>
    <r>
      <rPr>
        <vertAlign val="superscript"/>
        <sz val="12"/>
        <color theme="1"/>
        <rFont val="Times New Roman"/>
        <family val="1"/>
      </rPr>
      <t>2</t>
    </r>
  </si>
  <si>
    <r>
      <t>57.9630 km</t>
    </r>
    <r>
      <rPr>
        <vertAlign val="superscript"/>
        <sz val="12"/>
        <color theme="1"/>
        <rFont val="Times New Roman"/>
        <family val="1"/>
      </rPr>
      <t>2</t>
    </r>
  </si>
  <si>
    <r>
      <t>93.0002 km</t>
    </r>
    <r>
      <rPr>
        <vertAlign val="superscript"/>
        <sz val="12"/>
        <color theme="1"/>
        <rFont val="Times New Roman"/>
        <family val="1"/>
      </rPr>
      <t>2</t>
    </r>
  </si>
  <si>
    <r>
      <t>99.2950 km</t>
    </r>
    <r>
      <rPr>
        <vertAlign val="superscript"/>
        <sz val="12"/>
        <color theme="1"/>
        <rFont val="Times New Roman"/>
        <family val="1"/>
      </rPr>
      <t>2</t>
    </r>
  </si>
  <si>
    <r>
      <t>259.5963 km</t>
    </r>
    <r>
      <rPr>
        <vertAlign val="superscript"/>
        <sz val="12"/>
        <color theme="1"/>
        <rFont val="Times New Roman"/>
        <family val="1"/>
      </rPr>
      <t>2</t>
    </r>
  </si>
  <si>
    <r>
      <t>499.8131 km</t>
    </r>
    <r>
      <rPr>
        <vertAlign val="superscript"/>
        <sz val="12"/>
        <color theme="1"/>
        <rFont val="Times New Roman"/>
        <family val="1"/>
      </rPr>
      <t>2</t>
    </r>
  </si>
  <si>
    <r>
      <t>430.9201 km</t>
    </r>
    <r>
      <rPr>
        <vertAlign val="superscript"/>
        <sz val="12"/>
        <color theme="1"/>
        <rFont val="Times New Roman"/>
        <family val="1"/>
      </rPr>
      <t>2</t>
    </r>
  </si>
  <si>
    <t>GUILOM SARL (100%)</t>
  </si>
  <si>
    <r>
      <t>119.0562 km</t>
    </r>
    <r>
      <rPr>
        <vertAlign val="superscript"/>
        <sz val="12"/>
        <color theme="1"/>
        <rFont val="Times New Roman"/>
        <family val="1"/>
      </rPr>
      <t>2</t>
    </r>
  </si>
  <si>
    <t>GROUP GUINEA INVESTMENT SA (100%)</t>
  </si>
  <si>
    <r>
      <t>97.8308 km</t>
    </r>
    <r>
      <rPr>
        <vertAlign val="superscript"/>
        <sz val="12"/>
        <color theme="1"/>
        <rFont val="Times New Roman"/>
        <family val="1"/>
      </rPr>
      <t>2</t>
    </r>
  </si>
  <si>
    <t>KEDALA MINING EXPLORATION SARLU (100%)</t>
  </si>
  <si>
    <r>
      <t>19.5036 km</t>
    </r>
    <r>
      <rPr>
        <vertAlign val="superscript"/>
        <sz val="12"/>
        <color theme="1"/>
        <rFont val="Times New Roman"/>
        <family val="1"/>
      </rPr>
      <t>2</t>
    </r>
  </si>
  <si>
    <t>SOCIETE ATLAS GEOSERVICES GUINEE SARL</t>
  </si>
  <si>
    <r>
      <t>37.8994 km</t>
    </r>
    <r>
      <rPr>
        <vertAlign val="superscript"/>
        <sz val="12"/>
        <color theme="1"/>
        <rFont val="Times New Roman"/>
        <family val="1"/>
      </rPr>
      <t>2</t>
    </r>
  </si>
  <si>
    <t>SOCIETE GROUPE DIOUBATE INTERNATIONAL SARL</t>
  </si>
  <si>
    <r>
      <t>96.9031 km</t>
    </r>
    <r>
      <rPr>
        <vertAlign val="superscript"/>
        <sz val="12"/>
        <color theme="1"/>
        <rFont val="Times New Roman"/>
        <family val="1"/>
      </rPr>
      <t>2</t>
    </r>
  </si>
  <si>
    <r>
      <t>47.4246 km</t>
    </r>
    <r>
      <rPr>
        <vertAlign val="superscript"/>
        <sz val="12"/>
        <color theme="1"/>
        <rFont val="Times New Roman"/>
        <family val="1"/>
      </rPr>
      <t>2</t>
    </r>
  </si>
  <si>
    <t>SOCIETE GUINEA BAUXITE CORPORATION SARLU</t>
  </si>
  <si>
    <r>
      <t>216.8073 km</t>
    </r>
    <r>
      <rPr>
        <vertAlign val="superscript"/>
        <sz val="12"/>
        <color theme="1"/>
        <rFont val="Times New Roman"/>
        <family val="1"/>
      </rPr>
      <t>2</t>
    </r>
  </si>
  <si>
    <t>SOCIETE WEILY MINING SA</t>
  </si>
  <si>
    <r>
      <t>39.4013 km</t>
    </r>
    <r>
      <rPr>
        <vertAlign val="superscript"/>
        <sz val="12"/>
        <color theme="1"/>
        <rFont val="Times New Roman"/>
        <family val="1"/>
      </rPr>
      <t>2</t>
    </r>
  </si>
  <si>
    <r>
      <t>95.7896 km</t>
    </r>
    <r>
      <rPr>
        <vertAlign val="superscript"/>
        <sz val="12"/>
        <color theme="1"/>
        <rFont val="Times New Roman"/>
        <family val="1"/>
      </rPr>
      <t>2</t>
    </r>
  </si>
  <si>
    <t>SOCIETE BLACKSTONE MINING GROUP SARL</t>
  </si>
  <si>
    <r>
      <t>453.6218 km</t>
    </r>
    <r>
      <rPr>
        <vertAlign val="superscript"/>
        <sz val="12"/>
        <color theme="1"/>
        <rFont val="Times New Roman"/>
        <family val="1"/>
      </rPr>
      <t>2</t>
    </r>
  </si>
  <si>
    <t>SOCIETE JIM CISSE GLOBAL SA</t>
  </si>
  <si>
    <t>4.8765 Ha</t>
  </si>
  <si>
    <t>SOCIETE ORCO GOLD SILATY GUINEE SARL</t>
  </si>
  <si>
    <r>
      <t>99.7724 km</t>
    </r>
    <r>
      <rPr>
        <vertAlign val="superscript"/>
        <sz val="12"/>
        <color theme="1"/>
        <rFont val="Times New Roman"/>
        <family val="1"/>
      </rPr>
      <t>2</t>
    </r>
  </si>
  <si>
    <t>SOCIETE ORGANIC RAAGA SARL</t>
  </si>
  <si>
    <r>
      <t>83.0642 km</t>
    </r>
    <r>
      <rPr>
        <vertAlign val="superscript"/>
        <sz val="12"/>
        <color theme="1"/>
        <rFont val="Times New Roman"/>
        <family val="1"/>
      </rPr>
      <t>2</t>
    </r>
  </si>
  <si>
    <t>SOCIETE TUSK CAPITAL MINING GUINEE SARLU</t>
  </si>
  <si>
    <r>
      <t>99.1308 km</t>
    </r>
    <r>
      <rPr>
        <vertAlign val="superscript"/>
        <sz val="12"/>
        <color theme="1"/>
        <rFont val="Times New Roman"/>
        <family val="1"/>
      </rPr>
      <t>2</t>
    </r>
  </si>
  <si>
    <r>
      <t>98.2241 km</t>
    </r>
    <r>
      <rPr>
        <vertAlign val="superscript"/>
        <sz val="12"/>
        <color theme="1"/>
        <rFont val="Times New Roman"/>
        <family val="1"/>
      </rPr>
      <t>2</t>
    </r>
  </si>
  <si>
    <t>MAMOU RESOURCES SARLU</t>
  </si>
  <si>
    <r>
      <t>99.7845 km</t>
    </r>
    <r>
      <rPr>
        <vertAlign val="superscript"/>
        <sz val="12"/>
        <color theme="1"/>
        <rFont val="Times New Roman"/>
        <family val="1"/>
      </rPr>
      <t>2</t>
    </r>
  </si>
  <si>
    <t>SOCIETE BOFFA CONSTRUCTION &amp;DEVELOPPEMENT- SARLU</t>
  </si>
  <si>
    <r>
      <t>82.8193 km</t>
    </r>
    <r>
      <rPr>
        <vertAlign val="superscript"/>
        <sz val="12"/>
        <color theme="1"/>
        <rFont val="Times New Roman"/>
        <family val="1"/>
      </rPr>
      <t>2</t>
    </r>
  </si>
  <si>
    <t>CIM YUKUANG GUINEE (100%)</t>
  </si>
  <si>
    <r>
      <t>63.6614 km</t>
    </r>
    <r>
      <rPr>
        <vertAlign val="superscript"/>
        <sz val="12"/>
        <color theme="1"/>
        <rFont val="Times New Roman"/>
        <family val="1"/>
      </rPr>
      <t>2</t>
    </r>
  </si>
  <si>
    <r>
      <t>63.9025 km</t>
    </r>
    <r>
      <rPr>
        <vertAlign val="superscript"/>
        <sz val="12"/>
        <color theme="1"/>
        <rFont val="Times New Roman"/>
        <family val="1"/>
      </rPr>
      <t>2</t>
    </r>
  </si>
  <si>
    <t>SOCIETE ATLANTIC OIL CORPORATION SA.</t>
  </si>
  <si>
    <r>
      <t>47.3610 km</t>
    </r>
    <r>
      <rPr>
        <vertAlign val="superscript"/>
        <sz val="12"/>
        <color theme="1"/>
        <rFont val="Times New Roman"/>
        <family val="1"/>
      </rPr>
      <t>2</t>
    </r>
  </si>
  <si>
    <t>SOCIETE CONABRAS MINING INCORPORATION</t>
  </si>
  <si>
    <r>
      <t>27.7823 km</t>
    </r>
    <r>
      <rPr>
        <vertAlign val="superscript"/>
        <sz val="12"/>
        <color theme="1"/>
        <rFont val="Times New Roman"/>
        <family val="1"/>
      </rPr>
      <t>2</t>
    </r>
  </si>
  <si>
    <t>SOCIETE GOLD STAR INTERNATIONAL SARLU (100%)</t>
  </si>
  <si>
    <r>
      <t>22.3998 km</t>
    </r>
    <r>
      <rPr>
        <vertAlign val="superscript"/>
        <sz val="12"/>
        <color theme="1"/>
        <rFont val="Times New Roman"/>
        <family val="1"/>
      </rPr>
      <t>2</t>
    </r>
  </si>
  <si>
    <r>
      <t>50.7600 km</t>
    </r>
    <r>
      <rPr>
        <vertAlign val="superscript"/>
        <sz val="12"/>
        <color theme="1"/>
        <rFont val="Times New Roman"/>
        <family val="1"/>
      </rPr>
      <t>2</t>
    </r>
  </si>
  <si>
    <r>
      <t>15.2209 km</t>
    </r>
    <r>
      <rPr>
        <vertAlign val="superscript"/>
        <sz val="12"/>
        <color theme="1"/>
        <rFont val="Times New Roman"/>
        <family val="1"/>
      </rPr>
      <t>2</t>
    </r>
  </si>
  <si>
    <r>
      <t>290.5681 km</t>
    </r>
    <r>
      <rPr>
        <vertAlign val="superscript"/>
        <sz val="12"/>
        <color theme="1"/>
        <rFont val="Times New Roman"/>
        <family val="1"/>
      </rPr>
      <t>2</t>
    </r>
  </si>
  <si>
    <t>SOCIETE KC BAUXITE SARLU</t>
  </si>
  <si>
    <r>
      <t>499.6106 km</t>
    </r>
    <r>
      <rPr>
        <vertAlign val="superscript"/>
        <sz val="12"/>
        <color theme="1"/>
        <rFont val="Times New Roman"/>
        <family val="1"/>
      </rPr>
      <t>2</t>
    </r>
  </si>
  <si>
    <t>SOCIETE ARA EXPLORATION SARLU</t>
  </si>
  <si>
    <r>
      <t>96.1194 km</t>
    </r>
    <r>
      <rPr>
        <vertAlign val="superscript"/>
        <sz val="12"/>
        <color theme="1"/>
        <rFont val="Times New Roman"/>
        <family val="1"/>
      </rPr>
      <t>2</t>
    </r>
  </si>
  <si>
    <r>
      <t>98.4721 km</t>
    </r>
    <r>
      <rPr>
        <vertAlign val="superscript"/>
        <sz val="12"/>
        <color theme="1"/>
        <rFont val="Times New Roman"/>
        <family val="1"/>
      </rPr>
      <t>2</t>
    </r>
  </si>
  <si>
    <t>2.2224 Ha</t>
  </si>
  <si>
    <t>PARC INDUSTRIEL CHINOIS GUINEE SARL</t>
  </si>
  <si>
    <t>4.2570 Ha</t>
  </si>
  <si>
    <t>SOCIETE SOL GUINEE SARLU</t>
  </si>
  <si>
    <t>2.7504 Ha</t>
  </si>
  <si>
    <t>SOCIETE AFRINOV SARL</t>
  </si>
  <si>
    <r>
      <t>45.4628 km</t>
    </r>
    <r>
      <rPr>
        <vertAlign val="superscript"/>
        <sz val="12"/>
        <color theme="1"/>
        <rFont val="Times New Roman"/>
        <family val="1"/>
      </rPr>
      <t>2</t>
    </r>
  </si>
  <si>
    <t>SOCIETE GOLDEN ELEPHANT INVESTMENT CO - SARL</t>
  </si>
  <si>
    <r>
      <t>90.8813 km</t>
    </r>
    <r>
      <rPr>
        <vertAlign val="superscript"/>
        <sz val="12"/>
        <color theme="1"/>
        <rFont val="Times New Roman"/>
        <family val="1"/>
      </rPr>
      <t>2</t>
    </r>
  </si>
  <si>
    <t>SOCIETE MINIERE DE GUINEE CONAKRY SARL</t>
  </si>
  <si>
    <r>
      <t>28.8566 km</t>
    </r>
    <r>
      <rPr>
        <vertAlign val="superscript"/>
        <sz val="12"/>
        <color theme="1"/>
        <rFont val="Times New Roman"/>
        <family val="1"/>
      </rPr>
      <t>2</t>
    </r>
  </si>
  <si>
    <t>SOCIETE ENDEAVOUR GUINEE SARLU</t>
  </si>
  <si>
    <r>
      <t>98.9188 km</t>
    </r>
    <r>
      <rPr>
        <vertAlign val="superscript"/>
        <sz val="12"/>
        <color theme="1"/>
        <rFont val="Times New Roman"/>
        <family val="1"/>
      </rPr>
      <t>2</t>
    </r>
  </si>
  <si>
    <t>WINNING CONSORTIUM RAILWAY GUINEA SAU</t>
  </si>
  <si>
    <t>5.5324 Ha</t>
  </si>
  <si>
    <r>
      <t>363.4488 km</t>
    </r>
    <r>
      <rPr>
        <vertAlign val="superscript"/>
        <sz val="12"/>
        <color theme="1"/>
        <rFont val="Times New Roman"/>
        <family val="1"/>
      </rPr>
      <t>2</t>
    </r>
  </si>
  <si>
    <t>SOCIETE YI DA SARL</t>
  </si>
  <si>
    <t>8.9396 Ha</t>
  </si>
  <si>
    <t>SOCIETE ALAME SARL</t>
  </si>
  <si>
    <t>9.9266 Ha</t>
  </si>
  <si>
    <t>SOCIETE ORDINAIRE SARL (100%)</t>
  </si>
  <si>
    <r>
      <t>28.6032 km</t>
    </r>
    <r>
      <rPr>
        <vertAlign val="superscript"/>
        <sz val="12"/>
        <color theme="1"/>
        <rFont val="Times New Roman"/>
        <family val="1"/>
      </rPr>
      <t>2</t>
    </r>
  </si>
  <si>
    <t>GOLDEN GUINEA RESOURCES (100%)</t>
  </si>
  <si>
    <r>
      <t>64.2140 km</t>
    </r>
    <r>
      <rPr>
        <vertAlign val="superscript"/>
        <sz val="12"/>
        <color theme="1"/>
        <rFont val="Times New Roman"/>
        <family val="1"/>
      </rPr>
      <t>2</t>
    </r>
  </si>
  <si>
    <r>
      <t>50.0832 km</t>
    </r>
    <r>
      <rPr>
        <vertAlign val="superscript"/>
        <sz val="12"/>
        <color theme="1"/>
        <rFont val="Times New Roman"/>
        <family val="1"/>
      </rPr>
      <t>2</t>
    </r>
  </si>
  <si>
    <t>SOCIETE GUINEENNE D'EXPLOITATION DES MINES &amp; METAUX SA (100%)</t>
  </si>
  <si>
    <r>
      <t>16.9289 km</t>
    </r>
    <r>
      <rPr>
        <vertAlign val="superscript"/>
        <sz val="12"/>
        <color theme="1"/>
        <rFont val="Times New Roman"/>
        <family val="1"/>
      </rPr>
      <t>2</t>
    </r>
  </si>
  <si>
    <r>
      <t>41.1751 km</t>
    </r>
    <r>
      <rPr>
        <vertAlign val="superscript"/>
        <sz val="12"/>
        <color theme="1"/>
        <rFont val="Times New Roman"/>
        <family val="1"/>
      </rPr>
      <t>2</t>
    </r>
  </si>
  <si>
    <r>
      <t>220.4667 km</t>
    </r>
    <r>
      <rPr>
        <vertAlign val="superscript"/>
        <sz val="12"/>
        <color theme="1"/>
        <rFont val="Times New Roman"/>
        <family val="1"/>
      </rPr>
      <t>2</t>
    </r>
  </si>
  <si>
    <t>SOCIETE MARIYAM MOUNTAIN MINING SARL</t>
  </si>
  <si>
    <r>
      <t>90.0369 km</t>
    </r>
    <r>
      <rPr>
        <vertAlign val="superscript"/>
        <sz val="12"/>
        <color theme="1"/>
        <rFont val="Times New Roman"/>
        <family val="1"/>
      </rPr>
      <t>2</t>
    </r>
  </si>
  <si>
    <t>SOCIETE MINIERE DE KOUNDIAN SARL</t>
  </si>
  <si>
    <r>
      <t>54.5145 km</t>
    </r>
    <r>
      <rPr>
        <vertAlign val="superscript"/>
        <sz val="12"/>
        <color theme="1"/>
        <rFont val="Times New Roman"/>
        <family val="1"/>
      </rPr>
      <t>2</t>
    </r>
  </si>
  <si>
    <r>
      <t>63.3141 km</t>
    </r>
    <r>
      <rPr>
        <vertAlign val="superscript"/>
        <sz val="12"/>
        <color theme="1"/>
        <rFont val="Times New Roman"/>
        <family val="1"/>
      </rPr>
      <t>2</t>
    </r>
  </si>
  <si>
    <t>SOCIETE ECOMINES SARL</t>
  </si>
  <si>
    <r>
      <t>99.9769 km</t>
    </r>
    <r>
      <rPr>
        <vertAlign val="superscript"/>
        <sz val="12"/>
        <color theme="1"/>
        <rFont val="Times New Roman"/>
        <family val="1"/>
      </rPr>
      <t>2</t>
    </r>
  </si>
  <si>
    <t>SO-SIM MINING SARL (100%)</t>
  </si>
  <si>
    <r>
      <t>89.0000 km</t>
    </r>
    <r>
      <rPr>
        <vertAlign val="superscript"/>
        <sz val="12"/>
        <color theme="1"/>
        <rFont val="Times New Roman"/>
        <family val="1"/>
      </rPr>
      <t>2</t>
    </r>
  </si>
  <si>
    <t>SOCIETE AGASEPT SARL</t>
  </si>
  <si>
    <t>1.0640 Ha</t>
  </si>
  <si>
    <t>SOCIETE NOVO MINES SARLU</t>
  </si>
  <si>
    <r>
      <t>99.5598 km</t>
    </r>
    <r>
      <rPr>
        <vertAlign val="superscript"/>
        <sz val="12"/>
        <color theme="1"/>
        <rFont val="Times New Roman"/>
        <family val="1"/>
      </rPr>
      <t>2</t>
    </r>
  </si>
  <si>
    <t>JAMIL EZZEDINE SARL</t>
  </si>
  <si>
    <t>4.3494 Ha</t>
  </si>
  <si>
    <t>IAMGOLD EXPLORATION MALI SARL (100%)</t>
  </si>
  <si>
    <r>
      <t>49.8625 km</t>
    </r>
    <r>
      <rPr>
        <vertAlign val="superscript"/>
        <sz val="12"/>
        <color theme="1"/>
        <rFont val="Times New Roman"/>
        <family val="1"/>
      </rPr>
      <t>2</t>
    </r>
  </si>
  <si>
    <t>SOCIETE PEAK GUINEA SARL (100%)</t>
  </si>
  <si>
    <r>
      <t>48.5766 km</t>
    </r>
    <r>
      <rPr>
        <vertAlign val="superscript"/>
        <sz val="12"/>
        <color theme="1"/>
        <rFont val="Times New Roman"/>
        <family val="1"/>
      </rPr>
      <t>2</t>
    </r>
  </si>
  <si>
    <t>SOCIETE GCM MINING SARL</t>
  </si>
  <si>
    <r>
      <t>99.9760 km</t>
    </r>
    <r>
      <rPr>
        <vertAlign val="superscript"/>
        <sz val="12"/>
        <color theme="1"/>
        <rFont val="Times New Roman"/>
        <family val="1"/>
      </rPr>
      <t>2</t>
    </r>
  </si>
  <si>
    <t>SOCIETE GROUPE CIRE MADY SA</t>
  </si>
  <si>
    <r>
      <t>99.0307 km</t>
    </r>
    <r>
      <rPr>
        <vertAlign val="superscript"/>
        <sz val="12"/>
        <color theme="1"/>
        <rFont val="Times New Roman"/>
        <family val="1"/>
      </rPr>
      <t>2</t>
    </r>
  </si>
  <si>
    <t>SOCIETE M I B SARL</t>
  </si>
  <si>
    <r>
      <t>91.5443 km</t>
    </r>
    <r>
      <rPr>
        <vertAlign val="superscript"/>
        <sz val="12"/>
        <color theme="1"/>
        <rFont val="Times New Roman"/>
        <family val="1"/>
      </rPr>
      <t>2</t>
    </r>
  </si>
  <si>
    <r>
      <t>76.7209 km</t>
    </r>
    <r>
      <rPr>
        <vertAlign val="superscript"/>
        <sz val="12"/>
        <color theme="1"/>
        <rFont val="Times New Roman"/>
        <family val="1"/>
      </rPr>
      <t>2</t>
    </r>
  </si>
  <si>
    <t>AIS INTERNATIONAL GUINEE SAS</t>
  </si>
  <si>
    <r>
      <t>194.1861 km</t>
    </r>
    <r>
      <rPr>
        <vertAlign val="superscript"/>
        <sz val="12"/>
        <color theme="1"/>
        <rFont val="Times New Roman"/>
        <family val="1"/>
      </rPr>
      <t>2</t>
    </r>
  </si>
  <si>
    <t>GUINEA UNIVERSAL MINING COMPANY- SARLU (100%)</t>
  </si>
  <si>
    <r>
      <t>30.6317 km</t>
    </r>
    <r>
      <rPr>
        <vertAlign val="superscript"/>
        <sz val="12"/>
        <color theme="1"/>
        <rFont val="Times New Roman"/>
        <family val="1"/>
      </rPr>
      <t>2</t>
    </r>
  </si>
  <si>
    <r>
      <t>90.3499 km</t>
    </r>
    <r>
      <rPr>
        <vertAlign val="superscript"/>
        <sz val="12"/>
        <color theme="1"/>
        <rFont val="Times New Roman"/>
        <family val="1"/>
      </rPr>
      <t>2</t>
    </r>
  </si>
  <si>
    <t>MAKSEN GUINEE SARLU (100%)</t>
  </si>
  <si>
    <r>
      <t>98.6220 km</t>
    </r>
    <r>
      <rPr>
        <vertAlign val="superscript"/>
        <sz val="12"/>
        <color theme="1"/>
        <rFont val="Times New Roman"/>
        <family val="1"/>
      </rPr>
      <t>2</t>
    </r>
  </si>
  <si>
    <t>ORA MINING GUINEE SARLU (100%)</t>
  </si>
  <si>
    <r>
      <t>99.9044 km</t>
    </r>
    <r>
      <rPr>
        <vertAlign val="superscript"/>
        <sz val="12"/>
        <color theme="1"/>
        <rFont val="Times New Roman"/>
        <family val="1"/>
      </rPr>
      <t>2</t>
    </r>
  </si>
  <si>
    <t>MK GOLD SARLU</t>
  </si>
  <si>
    <r>
      <t>99.8828 km</t>
    </r>
    <r>
      <rPr>
        <vertAlign val="superscript"/>
        <sz val="12"/>
        <color theme="1"/>
        <rFont val="Times New Roman"/>
        <family val="1"/>
      </rPr>
      <t>2</t>
    </r>
  </si>
  <si>
    <t>TUDOR SARLU (100%)</t>
  </si>
  <si>
    <t>3.0038 Ha</t>
  </si>
  <si>
    <t>5.0057 Ha</t>
  </si>
  <si>
    <t>SOCIETE GUINEA BAUXITE MINING AND TRADING COMPANY (100%)</t>
  </si>
  <si>
    <r>
      <t>35.8136 km</t>
    </r>
    <r>
      <rPr>
        <vertAlign val="superscript"/>
        <sz val="12"/>
        <color theme="1"/>
        <rFont val="Times New Roman"/>
        <family val="1"/>
      </rPr>
      <t>2</t>
    </r>
  </si>
  <si>
    <t>GUITER MINING -SA</t>
  </si>
  <si>
    <r>
      <t>74.7013 km</t>
    </r>
    <r>
      <rPr>
        <vertAlign val="superscript"/>
        <sz val="12"/>
        <color theme="1"/>
        <rFont val="Times New Roman"/>
        <family val="1"/>
      </rPr>
      <t>2</t>
    </r>
  </si>
  <si>
    <t>SOCIETE BFG CONSULTING SARL (100%)</t>
  </si>
  <si>
    <r>
      <t>22.1756 km</t>
    </r>
    <r>
      <rPr>
        <vertAlign val="superscript"/>
        <sz val="12"/>
        <color theme="1"/>
        <rFont val="Times New Roman"/>
        <family val="1"/>
      </rPr>
      <t>2</t>
    </r>
  </si>
  <si>
    <r>
      <t>37.7041 km</t>
    </r>
    <r>
      <rPr>
        <vertAlign val="superscript"/>
        <sz val="12"/>
        <color theme="1"/>
        <rFont val="Times New Roman"/>
        <family val="1"/>
      </rPr>
      <t>2</t>
    </r>
  </si>
  <si>
    <t>SOCIETE DWEKAT &amp; DWAIKAT GROUP SARLU</t>
  </si>
  <si>
    <r>
      <t>99.9595 km</t>
    </r>
    <r>
      <rPr>
        <vertAlign val="superscript"/>
        <sz val="12"/>
        <color theme="1"/>
        <rFont val="Times New Roman"/>
        <family val="1"/>
      </rPr>
      <t>2</t>
    </r>
  </si>
  <si>
    <r>
      <t>90.2856 km</t>
    </r>
    <r>
      <rPr>
        <vertAlign val="superscript"/>
        <sz val="12"/>
        <color theme="1"/>
        <rFont val="Times New Roman"/>
        <family val="1"/>
      </rPr>
      <t>2</t>
    </r>
  </si>
  <si>
    <t>SOCIETE BLUE DIAMOND MINES &amp; MINERALS GUINEE SARL</t>
  </si>
  <si>
    <t>Manganèse</t>
  </si>
  <si>
    <r>
      <t>90.9613 km</t>
    </r>
    <r>
      <rPr>
        <vertAlign val="superscript"/>
        <sz val="12"/>
        <color theme="1"/>
        <rFont val="Times New Roman"/>
        <family val="1"/>
      </rPr>
      <t>2</t>
    </r>
  </si>
  <si>
    <t>SOCIETE PROMINES GUINEE SARLU</t>
  </si>
  <si>
    <r>
      <t>97.3862 km</t>
    </r>
    <r>
      <rPr>
        <vertAlign val="superscript"/>
        <sz val="12"/>
        <color theme="1"/>
        <rFont val="Times New Roman"/>
        <family val="1"/>
      </rPr>
      <t>2</t>
    </r>
  </si>
  <si>
    <t>SOCIETE MAK INVESTISSEMENT SARLU</t>
  </si>
  <si>
    <t>2.0634 Ha</t>
  </si>
  <si>
    <r>
      <t>98.3694 km</t>
    </r>
    <r>
      <rPr>
        <vertAlign val="superscript"/>
        <sz val="12"/>
        <color theme="1"/>
        <rFont val="Times New Roman"/>
        <family val="1"/>
      </rPr>
      <t>2</t>
    </r>
  </si>
  <si>
    <r>
      <t>99.8524 km</t>
    </r>
    <r>
      <rPr>
        <vertAlign val="superscript"/>
        <sz val="12"/>
        <color theme="1"/>
        <rFont val="Times New Roman"/>
        <family val="1"/>
      </rPr>
      <t>2</t>
    </r>
  </si>
  <si>
    <t>SOCIETE GUAN TANTA SARL</t>
  </si>
  <si>
    <t>1.4546 Ha</t>
  </si>
  <si>
    <t>SOCIETE MERCUR STAR SARL</t>
  </si>
  <si>
    <r>
      <t>250.5673 km</t>
    </r>
    <r>
      <rPr>
        <vertAlign val="superscript"/>
        <sz val="12"/>
        <color theme="1"/>
        <rFont val="Times New Roman"/>
        <family val="1"/>
      </rPr>
      <t>2</t>
    </r>
  </si>
  <si>
    <t>SOCIETE ELITE MINING GUINEA SA</t>
  </si>
  <si>
    <r>
      <t>200.0331 km</t>
    </r>
    <r>
      <rPr>
        <vertAlign val="superscript"/>
        <sz val="12"/>
        <color theme="1"/>
        <rFont val="Times New Roman"/>
        <family val="1"/>
      </rPr>
      <t>2</t>
    </r>
  </si>
  <si>
    <t>MANSA SANOU EXPLORATION SARLU</t>
  </si>
  <si>
    <r>
      <t>95.4765 km</t>
    </r>
    <r>
      <rPr>
        <vertAlign val="superscript"/>
        <sz val="12"/>
        <color theme="1"/>
        <rFont val="Times New Roman"/>
        <family val="1"/>
      </rPr>
      <t>2</t>
    </r>
  </si>
  <si>
    <t>SOCIETE ATLANTIS MINING SARLU</t>
  </si>
  <si>
    <r>
      <t>408.3354 km</t>
    </r>
    <r>
      <rPr>
        <vertAlign val="superscript"/>
        <sz val="12"/>
        <color theme="1"/>
        <rFont val="Times New Roman"/>
        <family val="1"/>
      </rPr>
      <t>2</t>
    </r>
  </si>
  <si>
    <r>
      <t>226.6763 km</t>
    </r>
    <r>
      <rPr>
        <vertAlign val="superscript"/>
        <sz val="12"/>
        <color theme="1"/>
        <rFont val="Times New Roman"/>
        <family val="1"/>
      </rPr>
      <t>2</t>
    </r>
  </si>
  <si>
    <t>VEP GROUPE SARL (100%)</t>
  </si>
  <si>
    <r>
      <t>97.7839 km</t>
    </r>
    <r>
      <rPr>
        <vertAlign val="superscript"/>
        <sz val="12"/>
        <color theme="1"/>
        <rFont val="Times New Roman"/>
        <family val="1"/>
      </rPr>
      <t>2</t>
    </r>
  </si>
  <si>
    <t>SOCIETE DJOMA HOLDING MINING GUINEE SARL (100%)</t>
  </si>
  <si>
    <r>
      <t>35.4325 km</t>
    </r>
    <r>
      <rPr>
        <vertAlign val="superscript"/>
        <sz val="12"/>
        <color theme="1"/>
        <rFont val="Times New Roman"/>
        <family val="1"/>
      </rPr>
      <t>2</t>
    </r>
  </si>
  <si>
    <r>
      <t>61.5575 km</t>
    </r>
    <r>
      <rPr>
        <vertAlign val="superscript"/>
        <sz val="12"/>
        <color theme="1"/>
        <rFont val="Times New Roman"/>
        <family val="1"/>
      </rPr>
      <t>2</t>
    </r>
  </si>
  <si>
    <t>ZHONG JIANG SARL (100%)</t>
  </si>
  <si>
    <r>
      <t>55.9782 km</t>
    </r>
    <r>
      <rPr>
        <vertAlign val="superscript"/>
        <sz val="12"/>
        <color theme="1"/>
        <rFont val="Times New Roman"/>
        <family val="1"/>
      </rPr>
      <t>2</t>
    </r>
  </si>
  <si>
    <r>
      <t>61.0274 km</t>
    </r>
    <r>
      <rPr>
        <vertAlign val="superscript"/>
        <sz val="12"/>
        <color theme="1"/>
        <rFont val="Times New Roman"/>
        <family val="1"/>
      </rPr>
      <t>2</t>
    </r>
  </si>
  <si>
    <t>JAVALON GUINEA SARL</t>
  </si>
  <si>
    <r>
      <t>206.7230 km</t>
    </r>
    <r>
      <rPr>
        <vertAlign val="superscript"/>
        <sz val="12"/>
        <color theme="1"/>
        <rFont val="Times New Roman"/>
        <family val="1"/>
      </rPr>
      <t>2</t>
    </r>
  </si>
  <si>
    <t>SOCIETE COMANA MINING SARLU (100%)</t>
  </si>
  <si>
    <r>
      <t>39.7873 km</t>
    </r>
    <r>
      <rPr>
        <vertAlign val="superscript"/>
        <sz val="12"/>
        <color theme="1"/>
        <rFont val="Times New Roman"/>
        <family val="1"/>
      </rPr>
      <t>2</t>
    </r>
  </si>
  <si>
    <r>
      <t>18.8176 km</t>
    </r>
    <r>
      <rPr>
        <vertAlign val="superscript"/>
        <sz val="12"/>
        <color theme="1"/>
        <rFont val="Times New Roman"/>
        <family val="1"/>
      </rPr>
      <t>2</t>
    </r>
  </si>
  <si>
    <t>SOCIETE GENTA GUINEA RESOURCES SA (100%)</t>
  </si>
  <si>
    <r>
      <t>50.1220 km</t>
    </r>
    <r>
      <rPr>
        <vertAlign val="superscript"/>
        <sz val="12"/>
        <color theme="1"/>
        <rFont val="Times New Roman"/>
        <family val="1"/>
      </rPr>
      <t>2</t>
    </r>
  </si>
  <si>
    <r>
      <t>48.3271 km</t>
    </r>
    <r>
      <rPr>
        <vertAlign val="superscript"/>
        <sz val="12"/>
        <color theme="1"/>
        <rFont val="Times New Roman"/>
        <family val="1"/>
      </rPr>
      <t>2</t>
    </r>
  </si>
  <si>
    <t>CHINA ROAD AND BRIDGE CORPORATION GUINEE -SUCC</t>
  </si>
  <si>
    <t>2.6085 Ha</t>
  </si>
  <si>
    <t>XINJIANG TBEA GROUP CO.LTD</t>
  </si>
  <si>
    <r>
      <t>97.5228 km</t>
    </r>
    <r>
      <rPr>
        <vertAlign val="superscript"/>
        <sz val="12"/>
        <color theme="1"/>
        <rFont val="Times New Roman"/>
        <family val="1"/>
      </rPr>
      <t>2</t>
    </r>
  </si>
  <si>
    <t>SOCIETE DARMIL GUINEE SARLU (100%)</t>
  </si>
  <si>
    <r>
      <t>51.8898 km</t>
    </r>
    <r>
      <rPr>
        <vertAlign val="superscript"/>
        <sz val="12"/>
        <color theme="1"/>
        <rFont val="Times New Roman"/>
        <family val="1"/>
      </rPr>
      <t>2</t>
    </r>
  </si>
  <si>
    <t>TRUSTACO GOLD SARLU (100%)</t>
  </si>
  <si>
    <r>
      <t>47.9040 km</t>
    </r>
    <r>
      <rPr>
        <vertAlign val="superscript"/>
        <sz val="12"/>
        <color theme="1"/>
        <rFont val="Times New Roman"/>
        <family val="1"/>
      </rPr>
      <t>2</t>
    </r>
  </si>
  <si>
    <r>
      <t>49.9800 km</t>
    </r>
    <r>
      <rPr>
        <vertAlign val="superscript"/>
        <sz val="12"/>
        <color theme="1"/>
        <rFont val="Times New Roman"/>
        <family val="1"/>
      </rPr>
      <t>2</t>
    </r>
  </si>
  <si>
    <r>
      <t>49.6130 km</t>
    </r>
    <r>
      <rPr>
        <vertAlign val="superscript"/>
        <sz val="12"/>
        <color theme="1"/>
        <rFont val="Times New Roman"/>
        <family val="1"/>
      </rPr>
      <t>2</t>
    </r>
  </si>
  <si>
    <t>SOCIETE BFG CONSULTING SARL</t>
  </si>
  <si>
    <r>
      <t>17.0000 km</t>
    </r>
    <r>
      <rPr>
        <vertAlign val="superscript"/>
        <sz val="12"/>
        <color theme="1"/>
        <rFont val="Times New Roman"/>
        <family val="1"/>
      </rPr>
      <t>2</t>
    </r>
  </si>
  <si>
    <t>SOCIETE MANOU CAMARA LOGISTICS &amp; MINING SARLU</t>
  </si>
  <si>
    <t>2.0097 Ha</t>
  </si>
  <si>
    <t>SOCIETE KOUROUSSA MINING CORP-SARLU (100%)</t>
  </si>
  <si>
    <r>
      <t>37.8304 km</t>
    </r>
    <r>
      <rPr>
        <vertAlign val="superscript"/>
        <sz val="12"/>
        <color theme="1"/>
        <rFont val="Times New Roman"/>
        <family val="1"/>
      </rPr>
      <t>2</t>
    </r>
  </si>
  <si>
    <r>
      <t>99.9915 km</t>
    </r>
    <r>
      <rPr>
        <vertAlign val="superscript"/>
        <sz val="12"/>
        <color theme="1"/>
        <rFont val="Times New Roman"/>
        <family val="1"/>
      </rPr>
      <t>2</t>
    </r>
  </si>
  <si>
    <r>
      <t>299.9073 km</t>
    </r>
    <r>
      <rPr>
        <vertAlign val="superscript"/>
        <sz val="12"/>
        <color theme="1"/>
        <rFont val="Times New Roman"/>
        <family val="1"/>
      </rPr>
      <t>2</t>
    </r>
  </si>
  <si>
    <t>SOCIETE DE COOPERATION ECONOMIQUE &amp; TECHNIQUE DE CONSTRUCTION DU HUAYU DE CHINE EN GUINEE SARLU</t>
  </si>
  <si>
    <t>3.8606 Ha</t>
  </si>
  <si>
    <t>SOCIETE DINGSHENG SARL</t>
  </si>
  <si>
    <t>10.0391 Ha</t>
  </si>
  <si>
    <t>SOCIETE AKM GUINEE SARLU</t>
  </si>
  <si>
    <r>
      <t>100.9514 km</t>
    </r>
    <r>
      <rPr>
        <vertAlign val="superscript"/>
        <sz val="12"/>
        <color theme="1"/>
        <rFont val="Times New Roman"/>
        <family val="1"/>
      </rPr>
      <t>2</t>
    </r>
  </si>
  <si>
    <t>SOCIETE PIG MINING GUINEE SARL (100%)</t>
  </si>
  <si>
    <r>
      <t>244.0532 km</t>
    </r>
    <r>
      <rPr>
        <vertAlign val="superscript"/>
        <sz val="12"/>
        <color theme="1"/>
        <rFont val="Times New Roman"/>
        <family val="1"/>
      </rPr>
      <t>2</t>
    </r>
  </si>
  <si>
    <t>SOCIETE SHEIKH AHMED DALMOOK AL MAKTOUM</t>
  </si>
  <si>
    <r>
      <t>203.9237 km</t>
    </r>
    <r>
      <rPr>
        <vertAlign val="superscript"/>
        <sz val="12"/>
        <color theme="1"/>
        <rFont val="Times New Roman"/>
        <family val="1"/>
      </rPr>
      <t>2</t>
    </r>
  </si>
  <si>
    <t>SOCIETE PELFACO GUINEA LIMITED S.A</t>
  </si>
  <si>
    <r>
      <t>62.6905 km</t>
    </r>
    <r>
      <rPr>
        <vertAlign val="superscript"/>
        <sz val="12"/>
        <color theme="1"/>
        <rFont val="Times New Roman"/>
        <family val="1"/>
      </rPr>
      <t>2</t>
    </r>
  </si>
  <si>
    <t>KATACO MINING SARL</t>
  </si>
  <si>
    <r>
      <t>70.6355 km</t>
    </r>
    <r>
      <rPr>
        <vertAlign val="superscript"/>
        <sz val="12"/>
        <color theme="1"/>
        <rFont val="Times New Roman"/>
        <family val="1"/>
      </rPr>
      <t>2</t>
    </r>
  </si>
  <si>
    <t>SOCIETE GUINEAN BRAIN TOUCH SARL (100%)</t>
  </si>
  <si>
    <r>
      <t>13.3834 km</t>
    </r>
    <r>
      <rPr>
        <vertAlign val="superscript"/>
        <sz val="12"/>
        <color theme="1"/>
        <rFont val="Times New Roman"/>
        <family val="1"/>
      </rPr>
      <t>2</t>
    </r>
  </si>
  <si>
    <t>GOLDEN GUINEA RESOURCES</t>
  </si>
  <si>
    <r>
      <t>48.2294 km</t>
    </r>
    <r>
      <rPr>
        <vertAlign val="superscript"/>
        <sz val="12"/>
        <color theme="1"/>
        <rFont val="Times New Roman"/>
        <family val="1"/>
      </rPr>
      <t>2</t>
    </r>
  </si>
  <si>
    <r>
      <t>98.2158 km</t>
    </r>
    <r>
      <rPr>
        <vertAlign val="superscript"/>
        <sz val="12"/>
        <color theme="1"/>
        <rFont val="Times New Roman"/>
        <family val="1"/>
      </rPr>
      <t>2</t>
    </r>
  </si>
  <si>
    <t>ASHAPURA GUINEA RESOURCES</t>
  </si>
  <si>
    <r>
      <t>199.9428 km</t>
    </r>
    <r>
      <rPr>
        <vertAlign val="superscript"/>
        <sz val="12"/>
        <color theme="1"/>
        <rFont val="Times New Roman"/>
        <family val="1"/>
      </rPr>
      <t>2</t>
    </r>
  </si>
  <si>
    <t>MAVCARD BAUXITE-SA (100%)</t>
  </si>
  <si>
    <r>
      <t>411.1217 km</t>
    </r>
    <r>
      <rPr>
        <vertAlign val="superscript"/>
        <sz val="12"/>
        <color theme="1"/>
        <rFont val="Times New Roman"/>
        <family val="1"/>
      </rPr>
      <t>2</t>
    </r>
  </si>
  <si>
    <t>GUINEE MINING HOLDING SA (100%)</t>
  </si>
  <si>
    <r>
      <t>301.6141 km</t>
    </r>
    <r>
      <rPr>
        <vertAlign val="superscript"/>
        <sz val="12"/>
        <color theme="1"/>
        <rFont val="Times New Roman"/>
        <family val="1"/>
      </rPr>
      <t>2</t>
    </r>
  </si>
  <si>
    <t>SOCIETE SNA AFRICA MINING SAS</t>
  </si>
  <si>
    <r>
      <t>99.9526 km</t>
    </r>
    <r>
      <rPr>
        <vertAlign val="superscript"/>
        <sz val="12"/>
        <color theme="1"/>
        <rFont val="Times New Roman"/>
        <family val="1"/>
      </rPr>
      <t>2</t>
    </r>
  </si>
  <si>
    <t>SOCIETE D'EXPLOITATION DES MATIERES PRECIEUSES SARL</t>
  </si>
  <si>
    <r>
      <t>99.4431 km</t>
    </r>
    <r>
      <rPr>
        <vertAlign val="superscript"/>
        <sz val="12"/>
        <color theme="1"/>
        <rFont val="Times New Roman"/>
        <family val="1"/>
      </rPr>
      <t>2</t>
    </r>
  </si>
  <si>
    <t>SOCIETE ORIENTAL INVESTISSEMENT &amp; DEVELOPPEMENT EN AFRIQUE SARLU</t>
  </si>
  <si>
    <t>9.9574 Ha</t>
  </si>
  <si>
    <t>EURASIENNE COMMERCE SARL</t>
  </si>
  <si>
    <t>8.9460 Ha</t>
  </si>
  <si>
    <t>8.8385 Ha</t>
  </si>
  <si>
    <t>SOCIETE MANDING GOLD SARL</t>
  </si>
  <si>
    <r>
      <t>41.9347 km</t>
    </r>
    <r>
      <rPr>
        <vertAlign val="superscript"/>
        <sz val="12"/>
        <color theme="1"/>
        <rFont val="Times New Roman"/>
        <family val="1"/>
      </rPr>
      <t>2</t>
    </r>
  </si>
  <si>
    <t>SOCIETE STELLAR GUINEE SARL</t>
  </si>
  <si>
    <t>SOCIETE DE NEGOCES AGRICOLES MINIERS &amp; INDUSTRIELS SARL (100%)</t>
  </si>
  <si>
    <r>
      <t>99.9135 km</t>
    </r>
    <r>
      <rPr>
        <vertAlign val="superscript"/>
        <sz val="12"/>
        <color theme="1"/>
        <rFont val="Times New Roman"/>
        <family val="1"/>
      </rPr>
      <t>2</t>
    </r>
  </si>
  <si>
    <r>
      <t>99.9713 km</t>
    </r>
    <r>
      <rPr>
        <vertAlign val="superscript"/>
        <sz val="12"/>
        <color theme="1"/>
        <rFont val="Times New Roman"/>
        <family val="1"/>
      </rPr>
      <t>2</t>
    </r>
  </si>
  <si>
    <t>SOCIETE MAC MINING SARLU</t>
  </si>
  <si>
    <r>
      <t>45.8673 km</t>
    </r>
    <r>
      <rPr>
        <vertAlign val="superscript"/>
        <sz val="12"/>
        <color theme="1"/>
        <rFont val="Times New Roman"/>
        <family val="1"/>
      </rPr>
      <t>2</t>
    </r>
  </si>
  <si>
    <r>
      <t>446.8746 km</t>
    </r>
    <r>
      <rPr>
        <vertAlign val="superscript"/>
        <sz val="12"/>
        <color theme="1"/>
        <rFont val="Times New Roman"/>
        <family val="1"/>
      </rPr>
      <t>2</t>
    </r>
  </si>
  <si>
    <t>CIAC MINING SARL</t>
  </si>
  <si>
    <t>8.9475 Ha</t>
  </si>
  <si>
    <t>SOCIETE PILLAR ENTERPRISES SARL</t>
  </si>
  <si>
    <r>
      <t>499.9928 km</t>
    </r>
    <r>
      <rPr>
        <vertAlign val="superscript"/>
        <sz val="12"/>
        <color theme="1"/>
        <rFont val="Times New Roman"/>
        <family val="1"/>
      </rPr>
      <t>2</t>
    </r>
  </si>
  <si>
    <t>SK OIL GUINEE SARLU (100%)</t>
  </si>
  <si>
    <r>
      <t>93.4722 km</t>
    </r>
    <r>
      <rPr>
        <vertAlign val="superscript"/>
        <sz val="12"/>
        <color theme="1"/>
        <rFont val="Times New Roman"/>
        <family val="1"/>
      </rPr>
      <t>2</t>
    </r>
  </si>
  <si>
    <t>SOCIETE AMINE MINING GUINEE SARL (100%)</t>
  </si>
  <si>
    <r>
      <t>17.3113 km</t>
    </r>
    <r>
      <rPr>
        <vertAlign val="superscript"/>
        <sz val="12"/>
        <color theme="1"/>
        <rFont val="Times New Roman"/>
        <family val="1"/>
      </rPr>
      <t>2</t>
    </r>
  </si>
  <si>
    <t>JIN YUAN SARL</t>
  </si>
  <si>
    <r>
      <t>99.1536 km</t>
    </r>
    <r>
      <rPr>
        <vertAlign val="superscript"/>
        <sz val="12"/>
        <color theme="1"/>
        <rFont val="Times New Roman"/>
        <family val="1"/>
      </rPr>
      <t>2</t>
    </r>
  </si>
  <si>
    <t>0.5045 Ha</t>
  </si>
  <si>
    <t>10.8911 Ha</t>
  </si>
  <si>
    <t>10.6519 Ha</t>
  </si>
  <si>
    <t>20.4756 Ha</t>
  </si>
  <si>
    <t>BEGEC TRAVAUX GIE</t>
  </si>
  <si>
    <t>3.5036 Ha</t>
  </si>
  <si>
    <t>SOCIETE GUINEENNE DES PRESTATIONS ET DES MINES</t>
  </si>
  <si>
    <r>
      <t>72.2436 km</t>
    </r>
    <r>
      <rPr>
        <vertAlign val="superscript"/>
        <sz val="12"/>
        <color theme="1"/>
        <rFont val="Times New Roman"/>
        <family val="1"/>
      </rPr>
      <t>2</t>
    </r>
  </si>
  <si>
    <t>SOCIETE ZHUANG MINING SA</t>
  </si>
  <si>
    <r>
      <t>97.2609 km</t>
    </r>
    <r>
      <rPr>
        <vertAlign val="superscript"/>
        <sz val="12"/>
        <color theme="1"/>
        <rFont val="Times New Roman"/>
        <family val="1"/>
      </rPr>
      <t>2</t>
    </r>
  </si>
  <si>
    <t>SOCIETE AFD MINING SA</t>
  </si>
  <si>
    <r>
      <t>46.1026 km</t>
    </r>
    <r>
      <rPr>
        <vertAlign val="superscript"/>
        <sz val="12"/>
        <color theme="1"/>
        <rFont val="Times New Roman"/>
        <family val="1"/>
      </rPr>
      <t>2</t>
    </r>
  </si>
  <si>
    <t>GUINEA UNIVERSAL MINING COMPANY- SARLU</t>
  </si>
  <si>
    <r>
      <t>19.2348 km</t>
    </r>
    <r>
      <rPr>
        <vertAlign val="superscript"/>
        <sz val="12"/>
        <color theme="1"/>
        <rFont val="Times New Roman"/>
        <family val="1"/>
      </rPr>
      <t>2</t>
    </r>
  </si>
  <si>
    <t>20.0017 Ha</t>
  </si>
  <si>
    <r>
      <t>50.0673 km</t>
    </r>
    <r>
      <rPr>
        <vertAlign val="superscript"/>
        <sz val="12"/>
        <color theme="1"/>
        <rFont val="Times New Roman"/>
        <family val="1"/>
      </rPr>
      <t>2</t>
    </r>
  </si>
  <si>
    <t>SOCIETE GUI-APPRO SARL</t>
  </si>
  <si>
    <r>
      <t>300.0895 km</t>
    </r>
    <r>
      <rPr>
        <vertAlign val="superscript"/>
        <sz val="12"/>
        <color theme="1"/>
        <rFont val="Times New Roman"/>
        <family val="1"/>
      </rPr>
      <t>2</t>
    </r>
  </si>
  <si>
    <t>SOCIETE D'EXPLOITATION DES PRODUITS VEGETAUX ET MINERAUX DE GUINEE SARL</t>
  </si>
  <si>
    <r>
      <t>99.3719 km</t>
    </r>
    <r>
      <rPr>
        <vertAlign val="superscript"/>
        <sz val="12"/>
        <color theme="1"/>
        <rFont val="Times New Roman"/>
        <family val="1"/>
      </rPr>
      <t>2</t>
    </r>
  </si>
  <si>
    <t>GROUPE SOGUIREFEL - BETON-MOULE-INDUSTRIEL GUINEE SARL</t>
  </si>
  <si>
    <t>6.8195 Ha</t>
  </si>
  <si>
    <t>SOCIETE RRMS MINING Ltd</t>
  </si>
  <si>
    <r>
      <t>48.1263 km</t>
    </r>
    <r>
      <rPr>
        <vertAlign val="superscript"/>
        <sz val="12"/>
        <color theme="1"/>
        <rFont val="Times New Roman"/>
        <family val="1"/>
      </rPr>
      <t>2</t>
    </r>
  </si>
  <si>
    <r>
      <t>48.5624 km</t>
    </r>
    <r>
      <rPr>
        <vertAlign val="superscript"/>
        <sz val="12"/>
        <color theme="1"/>
        <rFont val="Times New Roman"/>
        <family val="1"/>
      </rPr>
      <t>2</t>
    </r>
  </si>
  <si>
    <r>
      <t>275.9684 km</t>
    </r>
    <r>
      <rPr>
        <vertAlign val="superscript"/>
        <sz val="12"/>
        <color theme="1"/>
        <rFont val="Times New Roman"/>
        <family val="1"/>
      </rPr>
      <t>2</t>
    </r>
  </si>
  <si>
    <t>SOCIETE HYDROMIN SENEGAL SA</t>
  </si>
  <si>
    <r>
      <t>72.5678 km</t>
    </r>
    <r>
      <rPr>
        <vertAlign val="superscript"/>
        <sz val="12"/>
        <color theme="1"/>
        <rFont val="Times New Roman"/>
        <family val="1"/>
      </rPr>
      <t>2</t>
    </r>
  </si>
  <si>
    <t>DJOMA MINING SARLU</t>
  </si>
  <si>
    <r>
      <t>498.7418 km</t>
    </r>
    <r>
      <rPr>
        <vertAlign val="superscript"/>
        <sz val="12"/>
        <color theme="1"/>
        <rFont val="Times New Roman"/>
        <family val="1"/>
      </rPr>
      <t>2</t>
    </r>
  </si>
  <si>
    <t>SHANGHAI PU-ZHEN-SARLU</t>
  </si>
  <si>
    <t>3.5279 Ha</t>
  </si>
  <si>
    <t>SOCIETE MINIERE GAOUAL TELEMELE SARL</t>
  </si>
  <si>
    <r>
      <t>99.9020 km</t>
    </r>
    <r>
      <rPr>
        <vertAlign val="superscript"/>
        <sz val="12"/>
        <color theme="1"/>
        <rFont val="Times New Roman"/>
        <family val="1"/>
      </rPr>
      <t>2</t>
    </r>
  </si>
  <si>
    <r>
      <t>91.5285 km</t>
    </r>
    <r>
      <rPr>
        <vertAlign val="superscript"/>
        <sz val="12"/>
        <color theme="1"/>
        <rFont val="Times New Roman"/>
        <family val="1"/>
      </rPr>
      <t>2</t>
    </r>
  </si>
  <si>
    <t>SOCIETE SOFAC SA</t>
  </si>
  <si>
    <r>
      <t>50.8492 km</t>
    </r>
    <r>
      <rPr>
        <vertAlign val="superscript"/>
        <sz val="12"/>
        <color theme="1"/>
        <rFont val="Times New Roman"/>
        <family val="1"/>
      </rPr>
      <t>2</t>
    </r>
  </si>
  <si>
    <t>KING FISHER RESOURCES SARLU</t>
  </si>
  <si>
    <r>
      <t>53.1709 km</t>
    </r>
    <r>
      <rPr>
        <vertAlign val="superscript"/>
        <sz val="12"/>
        <color theme="1"/>
        <rFont val="Times New Roman"/>
        <family val="1"/>
      </rPr>
      <t>2</t>
    </r>
  </si>
  <si>
    <r>
      <t>64.5979 km</t>
    </r>
    <r>
      <rPr>
        <vertAlign val="superscript"/>
        <sz val="12"/>
        <color theme="1"/>
        <rFont val="Times New Roman"/>
        <family val="1"/>
      </rPr>
      <t>2</t>
    </r>
  </si>
  <si>
    <r>
      <t>70.7135 km</t>
    </r>
    <r>
      <rPr>
        <vertAlign val="superscript"/>
        <sz val="12"/>
        <color theme="1"/>
        <rFont val="Times New Roman"/>
        <family val="1"/>
      </rPr>
      <t>2</t>
    </r>
  </si>
  <si>
    <r>
      <t>5.9239 km</t>
    </r>
    <r>
      <rPr>
        <vertAlign val="superscript"/>
        <sz val="12"/>
        <color theme="1"/>
        <rFont val="Times New Roman"/>
        <family val="1"/>
      </rPr>
      <t>2</t>
    </r>
  </si>
  <si>
    <r>
      <t>9.0242 km</t>
    </r>
    <r>
      <rPr>
        <vertAlign val="superscript"/>
        <sz val="12"/>
        <color theme="1"/>
        <rFont val="Times New Roman"/>
        <family val="1"/>
      </rPr>
      <t>2</t>
    </r>
  </si>
  <si>
    <t>KANTEX GUINEE SARL</t>
  </si>
  <si>
    <r>
      <t>83.6735 km</t>
    </r>
    <r>
      <rPr>
        <vertAlign val="superscript"/>
        <sz val="12"/>
        <color theme="1"/>
        <rFont val="Times New Roman"/>
        <family val="1"/>
      </rPr>
      <t>2</t>
    </r>
  </si>
  <si>
    <r>
      <t>53.7369 km</t>
    </r>
    <r>
      <rPr>
        <vertAlign val="superscript"/>
        <sz val="12"/>
        <color theme="1"/>
        <rFont val="Times New Roman"/>
        <family val="1"/>
      </rPr>
      <t>2</t>
    </r>
  </si>
  <si>
    <t>NIMBA GOLD SARL</t>
  </si>
  <si>
    <r>
      <t>95.2763 km</t>
    </r>
    <r>
      <rPr>
        <vertAlign val="superscript"/>
        <sz val="12"/>
        <color theme="1"/>
        <rFont val="Times New Roman"/>
        <family val="1"/>
      </rPr>
      <t>2</t>
    </r>
  </si>
  <si>
    <t>SOCIETE GUINEA PIONEER MINING COMPANY SARLU</t>
  </si>
  <si>
    <r>
      <t>60.6637 km</t>
    </r>
    <r>
      <rPr>
        <vertAlign val="superscript"/>
        <sz val="12"/>
        <color theme="1"/>
        <rFont val="Times New Roman"/>
        <family val="1"/>
      </rPr>
      <t>2</t>
    </r>
  </si>
  <si>
    <t>AIS INTERNATIONAL GUINEE SAS (100%)</t>
  </si>
  <si>
    <r>
      <t>99.9866 km</t>
    </r>
    <r>
      <rPr>
        <vertAlign val="superscript"/>
        <sz val="12"/>
        <color theme="1"/>
        <rFont val="Times New Roman"/>
        <family val="1"/>
      </rPr>
      <t>2</t>
    </r>
  </si>
  <si>
    <t>SOCIETE ID GOLD SARLU</t>
  </si>
  <si>
    <r>
      <t>98.5485 km</t>
    </r>
    <r>
      <rPr>
        <vertAlign val="superscript"/>
        <sz val="12"/>
        <color theme="1"/>
        <rFont val="Times New Roman"/>
        <family val="1"/>
      </rPr>
      <t>2</t>
    </r>
  </si>
  <si>
    <t>SOCIETE DES MINES DE CARRIERES ET DE TRANSPORT SARLU (100%)</t>
  </si>
  <si>
    <t>2.5005 Ha</t>
  </si>
  <si>
    <t>MANAGUINEE SA</t>
  </si>
  <si>
    <r>
      <t>77.7561 km</t>
    </r>
    <r>
      <rPr>
        <vertAlign val="superscript"/>
        <sz val="12"/>
        <color theme="1"/>
        <rFont val="Times New Roman"/>
        <family val="1"/>
      </rPr>
      <t>2</t>
    </r>
  </si>
  <si>
    <r>
      <t>75.1493 km</t>
    </r>
    <r>
      <rPr>
        <vertAlign val="superscript"/>
        <sz val="12"/>
        <color theme="1"/>
        <rFont val="Times New Roman"/>
        <family val="1"/>
      </rPr>
      <t>2</t>
    </r>
  </si>
  <si>
    <r>
      <t>77.2297 km</t>
    </r>
    <r>
      <rPr>
        <vertAlign val="superscript"/>
        <sz val="12"/>
        <color theme="1"/>
        <rFont val="Times New Roman"/>
        <family val="1"/>
      </rPr>
      <t>2</t>
    </r>
  </si>
  <si>
    <r>
      <t>83.2130 km</t>
    </r>
    <r>
      <rPr>
        <vertAlign val="superscript"/>
        <sz val="12"/>
        <color theme="1"/>
        <rFont val="Times New Roman"/>
        <family val="1"/>
      </rPr>
      <t>2</t>
    </r>
  </si>
  <si>
    <r>
      <t>15.7429 km</t>
    </r>
    <r>
      <rPr>
        <vertAlign val="superscript"/>
        <sz val="12"/>
        <color theme="1"/>
        <rFont val="Times New Roman"/>
        <family val="1"/>
      </rPr>
      <t>2</t>
    </r>
  </si>
  <si>
    <r>
      <t>6.4479 km</t>
    </r>
    <r>
      <rPr>
        <vertAlign val="superscript"/>
        <sz val="12"/>
        <color theme="1"/>
        <rFont val="Times New Roman"/>
        <family val="1"/>
      </rPr>
      <t>2</t>
    </r>
  </si>
  <si>
    <t>SOCIETE GUINEENNE DE BUSINESS EQUIPEMENT &amp; CONSTRUCTION SARL</t>
  </si>
  <si>
    <t>4.5911 Ha</t>
  </si>
  <si>
    <t>ENTREPRISE BANA MINING &amp; BUSINESS MANAGEMENT</t>
  </si>
  <si>
    <r>
      <t>21.4199 km</t>
    </r>
    <r>
      <rPr>
        <vertAlign val="superscript"/>
        <sz val="12"/>
        <color theme="1"/>
        <rFont val="Times New Roman"/>
        <family val="1"/>
      </rPr>
      <t>2</t>
    </r>
  </si>
  <si>
    <r>
      <t>96.3020 km</t>
    </r>
    <r>
      <rPr>
        <vertAlign val="superscript"/>
        <sz val="12"/>
        <color theme="1"/>
        <rFont val="Times New Roman"/>
        <family val="1"/>
      </rPr>
      <t>2</t>
    </r>
  </si>
  <si>
    <t>WARABA GOLD GUINEE SAU (100%)</t>
  </si>
  <si>
    <r>
      <t>96.9368 km</t>
    </r>
    <r>
      <rPr>
        <vertAlign val="superscript"/>
        <sz val="12"/>
        <color theme="1"/>
        <rFont val="Times New Roman"/>
        <family val="1"/>
      </rPr>
      <t>2</t>
    </r>
  </si>
  <si>
    <r>
      <t>99.8210 km</t>
    </r>
    <r>
      <rPr>
        <vertAlign val="superscript"/>
        <sz val="12"/>
        <color theme="1"/>
        <rFont val="Times New Roman"/>
        <family val="1"/>
      </rPr>
      <t>2</t>
    </r>
  </si>
  <si>
    <t>DRILLING AND BLASTING ENGINEERING GRANULATS SARLU</t>
  </si>
  <si>
    <t>2.8405 Ha</t>
  </si>
  <si>
    <t>2.2577 Ha</t>
  </si>
  <si>
    <r>
      <t>78.7729 km</t>
    </r>
    <r>
      <rPr>
        <vertAlign val="superscript"/>
        <sz val="12"/>
        <color theme="1"/>
        <rFont val="Times New Roman"/>
        <family val="1"/>
      </rPr>
      <t>2</t>
    </r>
  </si>
  <si>
    <r>
      <t>56.5204 km</t>
    </r>
    <r>
      <rPr>
        <vertAlign val="superscript"/>
        <sz val="12"/>
        <color theme="1"/>
        <rFont val="Times New Roman"/>
        <family val="1"/>
      </rPr>
      <t>2</t>
    </r>
  </si>
  <si>
    <r>
      <t>55.7712 km</t>
    </r>
    <r>
      <rPr>
        <vertAlign val="superscript"/>
        <sz val="12"/>
        <color theme="1"/>
        <rFont val="Times New Roman"/>
        <family val="1"/>
      </rPr>
      <t>2</t>
    </r>
  </si>
  <si>
    <t>SOCIETE AKA MINING SARLU (100%)</t>
  </si>
  <si>
    <r>
      <t>99.8964 km</t>
    </r>
    <r>
      <rPr>
        <vertAlign val="superscript"/>
        <sz val="12"/>
        <color theme="1"/>
        <rFont val="Times New Roman"/>
        <family val="1"/>
      </rPr>
      <t>2</t>
    </r>
  </si>
  <si>
    <t>INDUSTRIELLE &amp; CONSTRUCTION DE GUINEE -SARLU (100%)</t>
  </si>
  <si>
    <r>
      <t>99.3110 km</t>
    </r>
    <r>
      <rPr>
        <vertAlign val="superscript"/>
        <sz val="12"/>
        <color theme="1"/>
        <rFont val="Times New Roman"/>
        <family val="1"/>
      </rPr>
      <t>2</t>
    </r>
  </si>
  <si>
    <t>BBK SARL</t>
  </si>
  <si>
    <r>
      <t>50.2481 km</t>
    </r>
    <r>
      <rPr>
        <vertAlign val="superscript"/>
        <sz val="12"/>
        <color theme="1"/>
        <rFont val="Times New Roman"/>
        <family val="1"/>
      </rPr>
      <t>2</t>
    </r>
  </si>
  <si>
    <r>
      <t>48.6352 km</t>
    </r>
    <r>
      <rPr>
        <vertAlign val="superscript"/>
        <sz val="12"/>
        <color theme="1"/>
        <rFont val="Times New Roman"/>
        <family val="1"/>
      </rPr>
      <t>2</t>
    </r>
  </si>
  <si>
    <t>SOCIETE DE GESTION ET DE CONSTRUCTION GUINEENNE SARLU</t>
  </si>
  <si>
    <r>
      <t>97.7276 km</t>
    </r>
    <r>
      <rPr>
        <vertAlign val="superscript"/>
        <sz val="12"/>
        <color theme="1"/>
        <rFont val="Times New Roman"/>
        <family val="1"/>
      </rPr>
      <t>2</t>
    </r>
  </si>
  <si>
    <t>SOCIETE CWF -SARL</t>
  </si>
  <si>
    <t>6.9548 Ha</t>
  </si>
  <si>
    <t>2.4523 Ha</t>
  </si>
  <si>
    <t>GLOBAL PROJET GUINEE SARLU</t>
  </si>
  <si>
    <r>
      <t>98.6648 km</t>
    </r>
    <r>
      <rPr>
        <vertAlign val="superscript"/>
        <sz val="12"/>
        <color theme="1"/>
        <rFont val="Times New Roman"/>
        <family val="1"/>
      </rPr>
      <t>2</t>
    </r>
  </si>
  <si>
    <t>SOCIETE SONIT SARL</t>
  </si>
  <si>
    <r>
      <t>374.2430 km</t>
    </r>
    <r>
      <rPr>
        <vertAlign val="superscript"/>
        <sz val="12"/>
        <color theme="1"/>
        <rFont val="Times New Roman"/>
        <family val="1"/>
      </rPr>
      <t>2</t>
    </r>
  </si>
  <si>
    <r>
      <t>99.9800 km</t>
    </r>
    <r>
      <rPr>
        <vertAlign val="superscript"/>
        <sz val="12"/>
        <color theme="1"/>
        <rFont val="Times New Roman"/>
        <family val="1"/>
      </rPr>
      <t>2</t>
    </r>
  </si>
  <si>
    <t>GOLDGEM ORAGEM AFRICA SARL</t>
  </si>
  <si>
    <r>
      <t>99.9598 km</t>
    </r>
    <r>
      <rPr>
        <vertAlign val="superscript"/>
        <sz val="12"/>
        <color theme="1"/>
        <rFont val="Times New Roman"/>
        <family val="1"/>
      </rPr>
      <t>2</t>
    </r>
  </si>
  <si>
    <t>W W MINING SARL</t>
  </si>
  <si>
    <t>5.9970 Ha</t>
  </si>
  <si>
    <t>HANN &amp; COMPAGNIE SA (100%)</t>
  </si>
  <si>
    <t>0.8051 Ha</t>
  </si>
  <si>
    <t>3.5587 Ha</t>
  </si>
  <si>
    <t>CARRIERE DE L'EMERGENCE SA</t>
  </si>
  <si>
    <t>1.0101 Ha</t>
  </si>
  <si>
    <t>SOCIETE ORGUI SARLU</t>
  </si>
  <si>
    <r>
      <t>33.2044 km</t>
    </r>
    <r>
      <rPr>
        <vertAlign val="superscript"/>
        <sz val="12"/>
        <color theme="1"/>
        <rFont val="Times New Roman"/>
        <family val="1"/>
      </rPr>
      <t>2</t>
    </r>
  </si>
  <si>
    <r>
      <t>12.2007 km</t>
    </r>
    <r>
      <rPr>
        <vertAlign val="superscript"/>
        <sz val="12"/>
        <color theme="1"/>
        <rFont val="Times New Roman"/>
        <family val="1"/>
      </rPr>
      <t>2</t>
    </r>
  </si>
  <si>
    <t>PAMAKO NEGOCES PRESTATIONS &amp; CONSTRUCTION SARLU (100%)</t>
  </si>
  <si>
    <t>5.1662 Ha</t>
  </si>
  <si>
    <t>CHINO AFRICA INTERNATIONAL SARLU (100%)</t>
  </si>
  <si>
    <r>
      <t>68.9624 km</t>
    </r>
    <r>
      <rPr>
        <vertAlign val="superscript"/>
        <sz val="12"/>
        <color theme="1"/>
        <rFont val="Times New Roman"/>
        <family val="1"/>
      </rPr>
      <t>2</t>
    </r>
  </si>
  <si>
    <t>SELLA MINING SARL</t>
  </si>
  <si>
    <t>Prolongation/Force Majeure</t>
  </si>
  <si>
    <r>
      <t>449.9833 km</t>
    </r>
    <r>
      <rPr>
        <vertAlign val="superscript"/>
        <sz val="12"/>
        <color theme="1"/>
        <rFont val="Times New Roman"/>
        <family val="1"/>
      </rPr>
      <t>2</t>
    </r>
  </si>
  <si>
    <r>
      <t>426.5722 km</t>
    </r>
    <r>
      <rPr>
        <vertAlign val="superscript"/>
        <sz val="12"/>
        <color theme="1"/>
        <rFont val="Times New Roman"/>
        <family val="1"/>
      </rPr>
      <t>2</t>
    </r>
  </si>
  <si>
    <t>ETABLISSEMENT COMMERCIAL COURTAGE EQQUIPEMENT GENERAL (100%)</t>
  </si>
  <si>
    <r>
      <t>99.7850 km</t>
    </r>
    <r>
      <rPr>
        <vertAlign val="superscript"/>
        <sz val="12"/>
        <color theme="1"/>
        <rFont val="Times New Roman"/>
        <family val="1"/>
      </rPr>
      <t>2</t>
    </r>
  </si>
  <si>
    <t>SOCIETE DOLPHIN RESOURCES SARL</t>
  </si>
  <si>
    <r>
      <t>37.9220 km</t>
    </r>
    <r>
      <rPr>
        <vertAlign val="superscript"/>
        <sz val="12"/>
        <color theme="1"/>
        <rFont val="Times New Roman"/>
        <family val="1"/>
      </rPr>
      <t>2</t>
    </r>
  </si>
  <si>
    <t>SOCIETE ATLANTIQUE GOLD MINING GUINEA SARL</t>
  </si>
  <si>
    <r>
      <t>130.2583 km</t>
    </r>
    <r>
      <rPr>
        <vertAlign val="superscript"/>
        <sz val="12"/>
        <color theme="1"/>
        <rFont val="Times New Roman"/>
        <family val="1"/>
      </rPr>
      <t>2</t>
    </r>
  </si>
  <si>
    <t>ENACOF MINING SARLU (100%)</t>
  </si>
  <si>
    <r>
      <t>215.2898 km</t>
    </r>
    <r>
      <rPr>
        <vertAlign val="superscript"/>
        <sz val="12"/>
        <color theme="1"/>
        <rFont val="Times New Roman"/>
        <family val="1"/>
      </rPr>
      <t>2</t>
    </r>
  </si>
  <si>
    <t>DIAOUNE &amp; FRERES SARL</t>
  </si>
  <si>
    <r>
      <t>7.2841 km</t>
    </r>
    <r>
      <rPr>
        <vertAlign val="superscript"/>
        <sz val="12"/>
        <color theme="1"/>
        <rFont val="Times New Roman"/>
        <family val="1"/>
      </rPr>
      <t>2</t>
    </r>
  </si>
  <si>
    <t>KINDIA MINING COMPANY SARL</t>
  </si>
  <si>
    <r>
      <t>498.4808 km</t>
    </r>
    <r>
      <rPr>
        <vertAlign val="superscript"/>
        <sz val="12"/>
        <color theme="1"/>
        <rFont val="Times New Roman"/>
        <family val="1"/>
      </rPr>
      <t>2</t>
    </r>
  </si>
  <si>
    <t>ASHAPURA GUINEA RESOURCES (100%)</t>
  </si>
  <si>
    <r>
      <t>432.3426 km</t>
    </r>
    <r>
      <rPr>
        <vertAlign val="superscript"/>
        <sz val="12"/>
        <color theme="1"/>
        <rFont val="Times New Roman"/>
        <family val="1"/>
      </rPr>
      <t>2</t>
    </r>
  </si>
  <si>
    <t>DALABA MINING COMPANY SARL</t>
  </si>
  <si>
    <r>
      <t>98.3814 km</t>
    </r>
    <r>
      <rPr>
        <vertAlign val="superscript"/>
        <sz val="12"/>
        <color theme="1"/>
        <rFont val="Times New Roman"/>
        <family val="1"/>
      </rPr>
      <t>2</t>
    </r>
  </si>
  <si>
    <t>GUITER MINING -SA (100%)</t>
  </si>
  <si>
    <r>
      <t>52.7342 km</t>
    </r>
    <r>
      <rPr>
        <vertAlign val="superscript"/>
        <sz val="12"/>
        <color theme="1"/>
        <rFont val="Times New Roman"/>
        <family val="1"/>
      </rPr>
      <t>2</t>
    </r>
  </si>
  <si>
    <t>SAFF NATURAL RESOURCES SARL (100%)</t>
  </si>
  <si>
    <r>
      <t>216.6229 km</t>
    </r>
    <r>
      <rPr>
        <vertAlign val="superscript"/>
        <sz val="12"/>
        <color theme="1"/>
        <rFont val="Times New Roman"/>
        <family val="1"/>
      </rPr>
      <t>2</t>
    </r>
  </si>
  <si>
    <t>HUNG SHENG FEI GROUP SA (100%)</t>
  </si>
  <si>
    <t>6.8480 Ha</t>
  </si>
  <si>
    <t>BASE METAL GUINEA SARLU (100%)</t>
  </si>
  <si>
    <t>Vanadium</t>
  </si>
  <si>
    <r>
      <t>23.9846 km</t>
    </r>
    <r>
      <rPr>
        <vertAlign val="superscript"/>
        <sz val="12"/>
        <color theme="1"/>
        <rFont val="Times New Roman"/>
        <family val="1"/>
      </rPr>
      <t>2</t>
    </r>
  </si>
  <si>
    <t>Nickel</t>
  </si>
  <si>
    <r>
      <t>34.2105 km</t>
    </r>
    <r>
      <rPr>
        <vertAlign val="superscript"/>
        <sz val="12"/>
        <color theme="1"/>
        <rFont val="Times New Roman"/>
        <family val="1"/>
      </rPr>
      <t>2</t>
    </r>
  </si>
  <si>
    <t>Titane</t>
  </si>
  <si>
    <r>
      <t>41.4941 km</t>
    </r>
    <r>
      <rPr>
        <vertAlign val="superscript"/>
        <sz val="12"/>
        <color theme="1"/>
        <rFont val="Times New Roman"/>
        <family val="1"/>
      </rPr>
      <t>2</t>
    </r>
  </si>
  <si>
    <t>10.0039 Ha</t>
  </si>
  <si>
    <t>CHINE HAOXIANG MINING CO.LTD-SARL (100%)</t>
  </si>
  <si>
    <t>5.0497 Ha</t>
  </si>
  <si>
    <t>4.9495 Ha</t>
  </si>
  <si>
    <t>FAKEIT BUSINESS SARL (100%)</t>
  </si>
  <si>
    <r>
      <t>77.6453 km</t>
    </r>
    <r>
      <rPr>
        <vertAlign val="superscript"/>
        <sz val="12"/>
        <color theme="1"/>
        <rFont val="Times New Roman"/>
        <family val="1"/>
      </rPr>
      <t>2</t>
    </r>
  </si>
  <si>
    <t>KABALABA MINING SARL (100%)</t>
  </si>
  <si>
    <r>
      <t>42.2029 km</t>
    </r>
    <r>
      <rPr>
        <vertAlign val="superscript"/>
        <sz val="12"/>
        <color theme="1"/>
        <rFont val="Times New Roman"/>
        <family val="1"/>
      </rPr>
      <t>2</t>
    </r>
  </si>
  <si>
    <r>
      <t>99.9586 km</t>
    </r>
    <r>
      <rPr>
        <vertAlign val="superscript"/>
        <sz val="12"/>
        <color theme="1"/>
        <rFont val="Times New Roman"/>
        <family val="1"/>
      </rPr>
      <t>2</t>
    </r>
  </si>
  <si>
    <t>GROUPE INTERNATIONAL SARLU (100%)</t>
  </si>
  <si>
    <r>
      <t>49.6392 km</t>
    </r>
    <r>
      <rPr>
        <vertAlign val="superscript"/>
        <sz val="12"/>
        <color theme="1"/>
        <rFont val="Times New Roman"/>
        <family val="1"/>
      </rPr>
      <t>2</t>
    </r>
  </si>
  <si>
    <t>GRANUM MINING SARL (100%)</t>
  </si>
  <si>
    <t>2.0036 Ha</t>
  </si>
  <si>
    <t>ARGO MINING SARLU (100%)</t>
  </si>
  <si>
    <r>
      <t>57.5422 km</t>
    </r>
    <r>
      <rPr>
        <vertAlign val="superscript"/>
        <sz val="12"/>
        <color theme="1"/>
        <rFont val="Times New Roman"/>
        <family val="1"/>
      </rPr>
      <t>2</t>
    </r>
  </si>
  <si>
    <t>SOCIETE CWF -SARL (100%)</t>
  </si>
  <si>
    <t>4.8855 Ha</t>
  </si>
  <si>
    <t>SOCIETE MINIERE DE DIOMA SARLU</t>
  </si>
  <si>
    <r>
      <t>95.5994 km</t>
    </r>
    <r>
      <rPr>
        <vertAlign val="superscript"/>
        <sz val="12"/>
        <color theme="1"/>
        <rFont val="Times New Roman"/>
        <family val="1"/>
      </rPr>
      <t>2</t>
    </r>
  </si>
  <si>
    <t>SOLID ROCK MINING &amp; EXPLORATION GUINEA</t>
  </si>
  <si>
    <r>
      <t>89.5900 km</t>
    </r>
    <r>
      <rPr>
        <vertAlign val="superscript"/>
        <sz val="12"/>
        <color theme="1"/>
        <rFont val="Times New Roman"/>
        <family val="1"/>
      </rPr>
      <t>2</t>
    </r>
  </si>
  <si>
    <r>
      <t>69.4201 km</t>
    </r>
    <r>
      <rPr>
        <vertAlign val="superscript"/>
        <sz val="12"/>
        <color theme="1"/>
        <rFont val="Times New Roman"/>
        <family val="1"/>
      </rPr>
      <t>2</t>
    </r>
  </si>
  <si>
    <r>
      <t>59.5059 km</t>
    </r>
    <r>
      <rPr>
        <vertAlign val="superscript"/>
        <sz val="12"/>
        <color theme="1"/>
        <rFont val="Times New Roman"/>
        <family val="1"/>
      </rPr>
      <t>2</t>
    </r>
  </si>
  <si>
    <t>SOCIETE KANFING MINING SAS</t>
  </si>
  <si>
    <r>
      <t>491.4092 km</t>
    </r>
    <r>
      <rPr>
        <vertAlign val="superscript"/>
        <sz val="12"/>
        <color theme="1"/>
        <rFont val="Times New Roman"/>
        <family val="1"/>
      </rPr>
      <t>2</t>
    </r>
  </si>
  <si>
    <t>DOUM SARLU (100%)</t>
  </si>
  <si>
    <t>2.0009 Ha</t>
  </si>
  <si>
    <t>GRANITOR SARL (100%)</t>
  </si>
  <si>
    <t>2.0016 Ha</t>
  </si>
  <si>
    <t>SOCIETE RESSOURCES MINING SARL</t>
  </si>
  <si>
    <r>
      <t>99.9732 km</t>
    </r>
    <r>
      <rPr>
        <vertAlign val="superscript"/>
        <sz val="12"/>
        <color theme="1"/>
        <rFont val="Times New Roman"/>
        <family val="1"/>
      </rPr>
      <t>2</t>
    </r>
  </si>
  <si>
    <t>ENTREPRISE DE CONSTRUCTION &amp; DE GESTION IMMOBILIERE JKD/MULTIPRESTATIONS SARL (100%)</t>
  </si>
  <si>
    <t>4.1817 Ha</t>
  </si>
  <si>
    <t>FTA GUINEE SARLU (100%)</t>
  </si>
  <si>
    <r>
      <t>50.7723 km</t>
    </r>
    <r>
      <rPr>
        <vertAlign val="superscript"/>
        <sz val="12"/>
        <color theme="1"/>
        <rFont val="Times New Roman"/>
        <family val="1"/>
      </rPr>
      <t>2</t>
    </r>
  </si>
  <si>
    <t>SOCIETE MINIERE DE SIGUIRI SARL</t>
  </si>
  <si>
    <r>
      <t>68.7726 km</t>
    </r>
    <r>
      <rPr>
        <vertAlign val="superscript"/>
        <sz val="12"/>
        <color theme="1"/>
        <rFont val="Times New Roman"/>
        <family val="1"/>
      </rPr>
      <t>2</t>
    </r>
  </si>
  <si>
    <t>SOCIETE MINIERE DE SIGUIRI SARL (100%)</t>
  </si>
  <si>
    <r>
      <t>20.0443 km</t>
    </r>
    <r>
      <rPr>
        <vertAlign val="superscript"/>
        <sz val="12"/>
        <color theme="1"/>
        <rFont val="Times New Roman"/>
        <family val="1"/>
      </rPr>
      <t>2</t>
    </r>
  </si>
  <si>
    <r>
      <t>8.2814 km</t>
    </r>
    <r>
      <rPr>
        <vertAlign val="superscript"/>
        <sz val="12"/>
        <color theme="1"/>
        <rFont val="Times New Roman"/>
        <family val="1"/>
      </rPr>
      <t>2</t>
    </r>
  </si>
  <si>
    <r>
      <t>8.7970 km</t>
    </r>
    <r>
      <rPr>
        <vertAlign val="superscript"/>
        <sz val="12"/>
        <color theme="1"/>
        <rFont val="Times New Roman"/>
        <family val="1"/>
      </rPr>
      <t>2</t>
    </r>
  </si>
  <si>
    <r>
      <t>29.6508 km</t>
    </r>
    <r>
      <rPr>
        <vertAlign val="superscript"/>
        <sz val="12"/>
        <color theme="1"/>
        <rFont val="Times New Roman"/>
        <family val="1"/>
      </rPr>
      <t>2</t>
    </r>
  </si>
  <si>
    <t>VENUS SARL</t>
  </si>
  <si>
    <r>
      <t>66.6158 km</t>
    </r>
    <r>
      <rPr>
        <vertAlign val="superscript"/>
        <sz val="12"/>
        <color theme="1"/>
        <rFont val="Times New Roman"/>
        <family val="1"/>
      </rPr>
      <t>2</t>
    </r>
  </si>
  <si>
    <r>
      <t>40.5483 km</t>
    </r>
    <r>
      <rPr>
        <vertAlign val="superscript"/>
        <sz val="12"/>
        <color theme="1"/>
        <rFont val="Times New Roman"/>
        <family val="1"/>
      </rPr>
      <t>2</t>
    </r>
  </si>
  <si>
    <t>EURASIENNE DE COMMERCE SARL</t>
  </si>
  <si>
    <t>11.2807 Ha</t>
  </si>
  <si>
    <t>CHINE AFRIQUE BUSINESS SARL (100%)</t>
  </si>
  <si>
    <t>3.9291 Ha</t>
  </si>
  <si>
    <t>ALJAN GUINEE SARL (100%)</t>
  </si>
  <si>
    <r>
      <t>30.6186 km</t>
    </r>
    <r>
      <rPr>
        <vertAlign val="superscript"/>
        <sz val="12"/>
        <color theme="1"/>
        <rFont val="Times New Roman"/>
        <family val="1"/>
      </rPr>
      <t>2</t>
    </r>
  </si>
  <si>
    <t>SALAMI GROUP-SARL (100%)</t>
  </si>
  <si>
    <t>1.9159 Ha</t>
  </si>
  <si>
    <t>1.1042 Ha</t>
  </si>
  <si>
    <t>SOCIETE MINIERE DE KISSIDOUGOU SARL (100%)</t>
  </si>
  <si>
    <r>
      <t>99.8545 km</t>
    </r>
    <r>
      <rPr>
        <vertAlign val="superscript"/>
        <sz val="12"/>
        <color theme="1"/>
        <rFont val="Times New Roman"/>
        <family val="1"/>
      </rPr>
      <t>2</t>
    </r>
  </si>
  <si>
    <t>SOCIETE AFRIC INVESTMENT GUINEE SARLU</t>
  </si>
  <si>
    <r>
      <t>97.8667 km</t>
    </r>
    <r>
      <rPr>
        <vertAlign val="superscript"/>
        <sz val="12"/>
        <color theme="1"/>
        <rFont val="Times New Roman"/>
        <family val="1"/>
      </rPr>
      <t>2</t>
    </r>
  </si>
  <si>
    <t>SOCIETE GUINEENNE DE FINANCEMENT &amp; INVESTISSEMENT SARLU</t>
  </si>
  <si>
    <r>
      <t>495.7659 km</t>
    </r>
    <r>
      <rPr>
        <vertAlign val="superscript"/>
        <sz val="12"/>
        <color theme="1"/>
        <rFont val="Times New Roman"/>
        <family val="1"/>
      </rPr>
      <t>2</t>
    </r>
  </si>
  <si>
    <t>SOCIETE CISSE - HASSAWIE - SARL</t>
  </si>
  <si>
    <t>1.8181 Ha</t>
  </si>
  <si>
    <r>
      <t>40.5810 km</t>
    </r>
    <r>
      <rPr>
        <vertAlign val="superscript"/>
        <sz val="12"/>
        <color theme="1"/>
        <rFont val="Times New Roman"/>
        <family val="1"/>
      </rPr>
      <t>2</t>
    </r>
  </si>
  <si>
    <r>
      <t>70.1308 km</t>
    </r>
    <r>
      <rPr>
        <vertAlign val="superscript"/>
        <sz val="12"/>
        <color theme="1"/>
        <rFont val="Times New Roman"/>
        <family val="1"/>
      </rPr>
      <t>2</t>
    </r>
  </si>
  <si>
    <r>
      <t>76.9002 km</t>
    </r>
    <r>
      <rPr>
        <vertAlign val="superscript"/>
        <sz val="12"/>
        <color theme="1"/>
        <rFont val="Times New Roman"/>
        <family val="1"/>
      </rPr>
      <t>2</t>
    </r>
  </si>
  <si>
    <t>BERETE INTERNATIONAL COMMERCE &amp; INDUSTRIE SARLU (100%)</t>
  </si>
  <si>
    <r>
      <t>24.3462 km</t>
    </r>
    <r>
      <rPr>
        <vertAlign val="superscript"/>
        <sz val="12"/>
        <color theme="1"/>
        <rFont val="Times New Roman"/>
        <family val="1"/>
      </rPr>
      <t>2</t>
    </r>
  </si>
  <si>
    <t>KOUNADY CONSTRUCTION BATIMENTS &amp;TRAVAUX PUBLICS SA (100%)</t>
  </si>
  <si>
    <t>1.7580 Ha</t>
  </si>
  <si>
    <t>HUAYU SARLU (100%)</t>
  </si>
  <si>
    <t>7.0319 Ha</t>
  </si>
  <si>
    <t>SOCIETE FEBI ITC SARL</t>
  </si>
  <si>
    <t>5.7692 Ha</t>
  </si>
  <si>
    <t>BARRY &amp; SONS COMPANY SARL (100%)</t>
  </si>
  <si>
    <t>1.7737 Ha</t>
  </si>
  <si>
    <t>SOCIETE MINIERE FREEDOM TRADING CO LIMITED SARL (100%)</t>
  </si>
  <si>
    <r>
      <t>73.0273 km</t>
    </r>
    <r>
      <rPr>
        <vertAlign val="superscript"/>
        <sz val="12"/>
        <color theme="1"/>
        <rFont val="Times New Roman"/>
        <family val="1"/>
      </rPr>
      <t>2</t>
    </r>
  </si>
  <si>
    <t>SOCIETE PEAK GUINEA SARL</t>
  </si>
  <si>
    <r>
      <t>23.1798 km</t>
    </r>
    <r>
      <rPr>
        <vertAlign val="superscript"/>
        <sz val="12"/>
        <color theme="1"/>
        <rFont val="Times New Roman"/>
        <family val="1"/>
      </rPr>
      <t>2</t>
    </r>
  </si>
  <si>
    <t>HANN &amp; COMPAGNIE SA</t>
  </si>
  <si>
    <t>4.7399 Ha</t>
  </si>
  <si>
    <t>SODIA -CAR-SARL (100%)</t>
  </si>
  <si>
    <t>7.4724 Ha</t>
  </si>
  <si>
    <t>SOCIETE S.I.E.C-SA (100%)</t>
  </si>
  <si>
    <t>0.1322 Ha</t>
  </si>
  <si>
    <t>4.4148 Ha</t>
  </si>
  <si>
    <t>2CE CONSTRUCTION SARL (100%)</t>
  </si>
  <si>
    <t>3.0031 Ha</t>
  </si>
  <si>
    <t>BEGEC TRAVAUX GIE (100%)</t>
  </si>
  <si>
    <t>2.0137 Ha</t>
  </si>
  <si>
    <t>SOCIETE TELEMELE BAUXITE RESSOURCE SARL</t>
  </si>
  <si>
    <r>
      <t>499.8973 km</t>
    </r>
    <r>
      <rPr>
        <vertAlign val="superscript"/>
        <sz val="12"/>
        <color theme="1"/>
        <rFont val="Times New Roman"/>
        <family val="1"/>
      </rPr>
      <t>2</t>
    </r>
  </si>
  <si>
    <t>SOCIETE AFRICA DIAMOND &amp; MINING SARLU (100%)</t>
  </si>
  <si>
    <r>
      <t>6.7482 km</t>
    </r>
    <r>
      <rPr>
        <vertAlign val="superscript"/>
        <sz val="12"/>
        <color theme="1"/>
        <rFont val="Times New Roman"/>
        <family val="1"/>
      </rPr>
      <t>2</t>
    </r>
  </si>
  <si>
    <t>SOCIETE DE FABRICATION DE GRANITE-SARLU (100%)</t>
  </si>
  <si>
    <t>1.0484 Ha</t>
  </si>
  <si>
    <t>METAL CONAKRY SARL (100%)</t>
  </si>
  <si>
    <r>
      <t>37.8312 km</t>
    </r>
    <r>
      <rPr>
        <vertAlign val="superscript"/>
        <sz val="12"/>
        <color theme="1"/>
        <rFont val="Times New Roman"/>
        <family val="1"/>
      </rPr>
      <t>2</t>
    </r>
  </si>
  <si>
    <r>
      <t>50.6760 km</t>
    </r>
    <r>
      <rPr>
        <vertAlign val="superscript"/>
        <sz val="12"/>
        <color theme="1"/>
        <rFont val="Times New Roman"/>
        <family val="1"/>
      </rPr>
      <t>2</t>
    </r>
  </si>
  <si>
    <t>SOCIETE GUINEENNE DE BUSINESS EQUIPEMENT &amp; CONSTRUCTION SARL (100%)</t>
  </si>
  <si>
    <r>
      <t>10.1500 km</t>
    </r>
    <r>
      <rPr>
        <vertAlign val="superscript"/>
        <sz val="12"/>
        <color theme="1"/>
        <rFont val="Times New Roman"/>
        <family val="1"/>
      </rPr>
      <t>2</t>
    </r>
  </si>
  <si>
    <r>
      <t>25.3651 km</t>
    </r>
    <r>
      <rPr>
        <vertAlign val="superscript"/>
        <sz val="12"/>
        <color theme="1"/>
        <rFont val="Times New Roman"/>
        <family val="1"/>
      </rPr>
      <t>2</t>
    </r>
  </si>
  <si>
    <r>
      <t>15.7724 km</t>
    </r>
    <r>
      <rPr>
        <vertAlign val="superscript"/>
        <sz val="12"/>
        <color theme="1"/>
        <rFont val="Times New Roman"/>
        <family val="1"/>
      </rPr>
      <t>2</t>
    </r>
  </si>
  <si>
    <t>SUN &amp; SAND MINING &amp; METALS GUINEA SA</t>
  </si>
  <si>
    <r>
      <t>46.3959 km</t>
    </r>
    <r>
      <rPr>
        <vertAlign val="superscript"/>
        <sz val="12"/>
        <color theme="1"/>
        <rFont val="Times New Roman"/>
        <family val="1"/>
      </rPr>
      <t>2</t>
    </r>
  </si>
  <si>
    <t>ZHENGYUAN INTERNATIONAL SARL (100%)</t>
  </si>
  <si>
    <t>3.5200 Ha</t>
  </si>
  <si>
    <t>KOON INDUSTRIE GUINEE SARL (100%)</t>
  </si>
  <si>
    <t>1.9690 Ha</t>
  </si>
  <si>
    <t>SOCIETE MINIERE KEITA &amp; FRERES (100%)</t>
  </si>
  <si>
    <r>
      <t>64.4098 km</t>
    </r>
    <r>
      <rPr>
        <vertAlign val="superscript"/>
        <sz val="12"/>
        <color theme="1"/>
        <rFont val="Times New Roman"/>
        <family val="1"/>
      </rPr>
      <t>2</t>
    </r>
  </si>
  <si>
    <t>SOCIETE GUINEA MINING COMPANY SA (100%)</t>
  </si>
  <si>
    <r>
      <t>75.6808 km</t>
    </r>
    <r>
      <rPr>
        <vertAlign val="superscript"/>
        <sz val="12"/>
        <color theme="1"/>
        <rFont val="Times New Roman"/>
        <family val="1"/>
      </rPr>
      <t>2</t>
    </r>
  </si>
  <si>
    <t>JAMIL EZZEDINE SARL (100%)</t>
  </si>
  <si>
    <t>1.8743 Ha</t>
  </si>
  <si>
    <t>SOCIETE KARAM GLOBAL MINING SARL (100%)</t>
  </si>
  <si>
    <t>2.0093 Ha</t>
  </si>
  <si>
    <t>IKATA INDUSTRIES SARL (100%)</t>
  </si>
  <si>
    <r>
      <t>10.2823 km</t>
    </r>
    <r>
      <rPr>
        <vertAlign val="superscript"/>
        <sz val="12"/>
        <color theme="1"/>
        <rFont val="Times New Roman"/>
        <family val="1"/>
      </rPr>
      <t>2</t>
    </r>
  </si>
  <si>
    <t>KAKANDE ALUMINA GUINEE SAU (100%)</t>
  </si>
  <si>
    <r>
      <t>74.9234 km</t>
    </r>
    <r>
      <rPr>
        <vertAlign val="superscript"/>
        <sz val="12"/>
        <color theme="1"/>
        <rFont val="Times New Roman"/>
        <family val="1"/>
      </rPr>
      <t>2</t>
    </r>
  </si>
  <si>
    <t>1.5076 Ha</t>
  </si>
  <si>
    <t>ABRO CONSULTANT MINING ASSOCIATION SARLU (100%)</t>
  </si>
  <si>
    <r>
      <t>42.8108 km</t>
    </r>
    <r>
      <rPr>
        <vertAlign val="superscript"/>
        <sz val="12"/>
        <color theme="1"/>
        <rFont val="Times New Roman"/>
        <family val="1"/>
      </rPr>
      <t>2</t>
    </r>
  </si>
  <si>
    <t>WEST AFRICAN MINING CONSULTANT GUINEE-SARL (100%)</t>
  </si>
  <si>
    <t>0.9279 Ha</t>
  </si>
  <si>
    <t>1.1932 Ha</t>
  </si>
  <si>
    <t>SOCIETE PAN AFRICAN DIAMONDS GUINEE SARLU (100%)</t>
  </si>
  <si>
    <r>
      <t>95.4927 km</t>
    </r>
    <r>
      <rPr>
        <vertAlign val="superscript"/>
        <sz val="12"/>
        <color theme="1"/>
        <rFont val="Times New Roman"/>
        <family val="1"/>
      </rPr>
      <t>2</t>
    </r>
  </si>
  <si>
    <t>SOCIETE ICONEX GUINEE SA (100%)</t>
  </si>
  <si>
    <t>4.0068 Ha</t>
  </si>
  <si>
    <t>SOCIETE GROUPE GUICOPRESS SA (100%)</t>
  </si>
  <si>
    <t>5.1262 Ha</t>
  </si>
  <si>
    <t>SOCIETE C &amp; B BLACK GOLD SA (100%)</t>
  </si>
  <si>
    <t>12.0085 Ha</t>
  </si>
  <si>
    <t>SOCIETE HUMMINGRIRD GUINEA CORPORATION (100%)</t>
  </si>
  <si>
    <t>5.0557 Ha</t>
  </si>
  <si>
    <t>SOCIETE LES CARRIERES DE L'EMERGENCE SA (100%)</t>
  </si>
  <si>
    <t>2.0004 Ha</t>
  </si>
  <si>
    <r>
      <t>16.5497 km</t>
    </r>
    <r>
      <rPr>
        <vertAlign val="superscript"/>
        <sz val="12"/>
        <color theme="1"/>
        <rFont val="Times New Roman"/>
        <family val="1"/>
      </rPr>
      <t>2</t>
    </r>
  </si>
  <si>
    <r>
      <t>61.2085 km</t>
    </r>
    <r>
      <rPr>
        <vertAlign val="superscript"/>
        <sz val="12"/>
        <color theme="1"/>
        <rFont val="Times New Roman"/>
        <family val="1"/>
      </rPr>
      <t>2</t>
    </r>
  </si>
  <si>
    <r>
      <t>45.0000 km</t>
    </r>
    <r>
      <rPr>
        <vertAlign val="superscript"/>
        <sz val="12"/>
        <color theme="1"/>
        <rFont val="Times New Roman"/>
        <family val="1"/>
      </rPr>
      <t>2</t>
    </r>
  </si>
  <si>
    <t>6.5526 Ha</t>
  </si>
  <si>
    <t>Car BEL AIR MINING SA</t>
  </si>
  <si>
    <r>
      <t>0.0930 km</t>
    </r>
    <r>
      <rPr>
        <vertAlign val="superscript"/>
        <sz val="12"/>
        <color theme="1"/>
        <rFont val="Times New Roman"/>
        <family val="1"/>
      </rPr>
      <t>2</t>
    </r>
  </si>
  <si>
    <r>
      <t>1.9793 km</t>
    </r>
    <r>
      <rPr>
        <vertAlign val="superscript"/>
        <sz val="12"/>
        <color theme="1"/>
        <rFont val="Times New Roman"/>
        <family val="1"/>
      </rPr>
      <t>2</t>
    </r>
  </si>
  <si>
    <t>BATAX-BOUNA INTERNATIONAL MINING CORP. SARL</t>
  </si>
  <si>
    <r>
      <t>68.5838 km</t>
    </r>
    <r>
      <rPr>
        <vertAlign val="superscript"/>
        <sz val="12"/>
        <color theme="1"/>
        <rFont val="Times New Roman"/>
        <family val="1"/>
      </rPr>
      <t>2</t>
    </r>
  </si>
  <si>
    <r>
      <t>62.3668 km</t>
    </r>
    <r>
      <rPr>
        <vertAlign val="superscript"/>
        <sz val="12"/>
        <color theme="1"/>
        <rFont val="Times New Roman"/>
        <family val="1"/>
      </rPr>
      <t>2</t>
    </r>
  </si>
  <si>
    <t>Car SCETCHCG 01</t>
  </si>
  <si>
    <t>5.0050 Ha</t>
  </si>
  <si>
    <r>
      <t>236.8333 km</t>
    </r>
    <r>
      <rPr>
        <vertAlign val="superscript"/>
        <sz val="12"/>
        <color theme="1"/>
        <rFont val="Times New Roman"/>
        <family val="1"/>
      </rPr>
      <t>2</t>
    </r>
  </si>
  <si>
    <t>SOCIETE RESSOURCESTASSILIMAN BAOULE SA</t>
  </si>
  <si>
    <r>
      <t>0.9924 km</t>
    </r>
    <r>
      <rPr>
        <vertAlign val="superscript"/>
        <sz val="12"/>
        <color theme="1"/>
        <rFont val="Times New Roman"/>
        <family val="1"/>
      </rPr>
      <t>2</t>
    </r>
  </si>
  <si>
    <t>29.3424 Ha</t>
  </si>
  <si>
    <t>Demande de Transfert</t>
  </si>
  <si>
    <r>
      <t>121.3841 km</t>
    </r>
    <r>
      <rPr>
        <vertAlign val="superscript"/>
        <sz val="12"/>
        <color theme="1"/>
        <rFont val="Times New Roman"/>
        <family val="1"/>
      </rPr>
      <t>2</t>
    </r>
  </si>
  <si>
    <r>
      <t>288.9484 km</t>
    </r>
    <r>
      <rPr>
        <vertAlign val="superscript"/>
        <sz val="12"/>
        <color theme="1"/>
        <rFont val="Times New Roman"/>
        <family val="1"/>
      </rPr>
      <t>2</t>
    </r>
  </si>
  <si>
    <t>PLAN AFRICA HOLDING GUINEA SARL (100%)</t>
  </si>
  <si>
    <r>
      <t>27.4979 km</t>
    </r>
    <r>
      <rPr>
        <vertAlign val="superscript"/>
        <sz val="12"/>
        <color theme="1"/>
        <rFont val="Times New Roman"/>
        <family val="1"/>
      </rPr>
      <t>2</t>
    </r>
  </si>
  <si>
    <t>SOCIETE GLOBAL METAL &amp; GEM'S STONE</t>
  </si>
  <si>
    <r>
      <t>55.4453 km</t>
    </r>
    <r>
      <rPr>
        <vertAlign val="superscript"/>
        <sz val="12"/>
        <color theme="1"/>
        <rFont val="Times New Roman"/>
        <family val="1"/>
      </rPr>
      <t>2</t>
    </r>
  </si>
  <si>
    <r>
      <t>73.0800 km</t>
    </r>
    <r>
      <rPr>
        <vertAlign val="superscript"/>
        <sz val="12"/>
        <color theme="1"/>
        <rFont val="Times New Roman"/>
        <family val="1"/>
      </rPr>
      <t>2</t>
    </r>
  </si>
  <si>
    <r>
      <t>0.7894 km</t>
    </r>
    <r>
      <rPr>
        <vertAlign val="superscript"/>
        <sz val="12"/>
        <color theme="1"/>
        <rFont val="Times New Roman"/>
        <family val="1"/>
      </rPr>
      <t>2</t>
    </r>
  </si>
  <si>
    <r>
      <t>0.1203 km</t>
    </r>
    <r>
      <rPr>
        <vertAlign val="superscript"/>
        <sz val="12"/>
        <color theme="1"/>
        <rFont val="Times New Roman"/>
        <family val="1"/>
      </rPr>
      <t>2</t>
    </r>
  </si>
  <si>
    <t>Car INTERNATIONALE D EXPLOITATION</t>
  </si>
  <si>
    <t>0.0028 Ha</t>
  </si>
  <si>
    <r>
      <t>1.0911 km</t>
    </r>
    <r>
      <rPr>
        <vertAlign val="superscript"/>
        <sz val="12"/>
        <color theme="1"/>
        <rFont val="Times New Roman"/>
        <family val="1"/>
      </rPr>
      <t>2</t>
    </r>
  </si>
  <si>
    <r>
      <t>0.3421 km</t>
    </r>
    <r>
      <rPr>
        <vertAlign val="superscript"/>
        <sz val="12"/>
        <color theme="1"/>
        <rFont val="Times New Roman"/>
        <family val="1"/>
      </rPr>
      <t>2</t>
    </r>
  </si>
  <si>
    <r>
      <t>0.2556 km</t>
    </r>
    <r>
      <rPr>
        <vertAlign val="superscript"/>
        <sz val="12"/>
        <color theme="1"/>
        <rFont val="Times New Roman"/>
        <family val="1"/>
      </rPr>
      <t>2</t>
    </r>
  </si>
  <si>
    <r>
      <t>0.9567 km</t>
    </r>
    <r>
      <rPr>
        <vertAlign val="superscript"/>
        <sz val="12"/>
        <color theme="1"/>
        <rFont val="Times New Roman"/>
        <family val="1"/>
      </rPr>
      <t>2</t>
    </r>
  </si>
  <si>
    <r>
      <t>0.3007 km</t>
    </r>
    <r>
      <rPr>
        <vertAlign val="superscript"/>
        <sz val="12"/>
        <color theme="1"/>
        <rFont val="Times New Roman"/>
        <family val="1"/>
      </rPr>
      <t>2</t>
    </r>
  </si>
  <si>
    <t>ORDIM MINING SARL</t>
  </si>
  <si>
    <r>
      <t>80.3542 km</t>
    </r>
    <r>
      <rPr>
        <vertAlign val="superscript"/>
        <sz val="12"/>
        <color theme="1"/>
        <rFont val="Times New Roman"/>
        <family val="1"/>
      </rPr>
      <t>2</t>
    </r>
  </si>
  <si>
    <t>SOCIETE BASSAD GUINEE</t>
  </si>
  <si>
    <r>
      <t>2.3683 km</t>
    </r>
    <r>
      <rPr>
        <vertAlign val="superscript"/>
        <sz val="12"/>
        <color theme="1"/>
        <rFont val="Times New Roman"/>
        <family val="1"/>
      </rPr>
      <t>2</t>
    </r>
  </si>
  <si>
    <t>SOCIETE WEST DIAMONDS LIMITED GUINEE</t>
  </si>
  <si>
    <r>
      <t>1.0767 km</t>
    </r>
    <r>
      <rPr>
        <vertAlign val="superscript"/>
        <sz val="12"/>
        <color theme="1"/>
        <rFont val="Times New Roman"/>
        <family val="1"/>
      </rPr>
      <t>2</t>
    </r>
  </si>
  <si>
    <t>SOCIETE RESSOURCE ORION GUINEE SARL</t>
  </si>
  <si>
    <r>
      <t>3.2785 km</t>
    </r>
    <r>
      <rPr>
        <vertAlign val="superscript"/>
        <sz val="12"/>
        <color theme="1"/>
        <rFont val="Times New Roman"/>
        <family val="1"/>
      </rPr>
      <t>2</t>
    </r>
  </si>
  <si>
    <r>
      <t>1011.0717 km</t>
    </r>
    <r>
      <rPr>
        <vertAlign val="superscript"/>
        <sz val="12"/>
        <color theme="1"/>
        <rFont val="Times New Roman"/>
        <family val="1"/>
      </rPr>
      <t>2</t>
    </r>
  </si>
  <si>
    <r>
      <t>99.7942 km</t>
    </r>
    <r>
      <rPr>
        <vertAlign val="superscript"/>
        <sz val="12"/>
        <color theme="1"/>
        <rFont val="Times New Roman"/>
        <family val="1"/>
      </rPr>
      <t>2</t>
    </r>
  </si>
  <si>
    <r>
      <t>81.9563 km</t>
    </r>
    <r>
      <rPr>
        <vertAlign val="superscript"/>
        <sz val="12"/>
        <color theme="1"/>
        <rFont val="Times New Roman"/>
        <family val="1"/>
      </rPr>
      <t>2</t>
    </r>
  </si>
  <si>
    <r>
      <t>74.8175 km</t>
    </r>
    <r>
      <rPr>
        <vertAlign val="superscript"/>
        <sz val="12"/>
        <color theme="1"/>
        <rFont val="Times New Roman"/>
        <family val="1"/>
      </rPr>
      <t>2</t>
    </r>
  </si>
  <si>
    <t>SOCIETE MANDEN GOLD MINING SARL</t>
  </si>
  <si>
    <r>
      <t>95.5044 km</t>
    </r>
    <r>
      <rPr>
        <vertAlign val="superscript"/>
        <sz val="12"/>
        <color theme="1"/>
        <rFont val="Times New Roman"/>
        <family val="1"/>
      </rPr>
      <t>2</t>
    </r>
  </si>
  <si>
    <t>SOCIETE KB GOLD SARLU</t>
  </si>
  <si>
    <r>
      <t>86.1303 km</t>
    </r>
    <r>
      <rPr>
        <vertAlign val="superscript"/>
        <sz val="12"/>
        <color theme="1"/>
        <rFont val="Times New Roman"/>
        <family val="1"/>
      </rPr>
      <t>2</t>
    </r>
  </si>
  <si>
    <r>
      <t>92.3306 km</t>
    </r>
    <r>
      <rPr>
        <vertAlign val="superscript"/>
        <sz val="12"/>
        <color theme="1"/>
        <rFont val="Times New Roman"/>
        <family val="1"/>
      </rPr>
      <t>2</t>
    </r>
  </si>
  <si>
    <t>ID GOLD MINING SA (100%)</t>
  </si>
  <si>
    <r>
      <t>99.7617 km</t>
    </r>
    <r>
      <rPr>
        <vertAlign val="superscript"/>
        <sz val="12"/>
        <color theme="1"/>
        <rFont val="Times New Roman"/>
        <family val="1"/>
      </rPr>
      <t>2</t>
    </r>
  </si>
  <si>
    <r>
      <t>46.9090 km</t>
    </r>
    <r>
      <rPr>
        <vertAlign val="superscript"/>
        <sz val="12"/>
        <color theme="1"/>
        <rFont val="Times New Roman"/>
        <family val="1"/>
      </rPr>
      <t>2</t>
    </r>
  </si>
  <si>
    <r>
      <t>57.4190 km</t>
    </r>
    <r>
      <rPr>
        <vertAlign val="superscript"/>
        <sz val="12"/>
        <color theme="1"/>
        <rFont val="Times New Roman"/>
        <family val="1"/>
      </rPr>
      <t>2</t>
    </r>
  </si>
  <si>
    <t>SOCIETE BEL MINING 3K SARLU</t>
  </si>
  <si>
    <r>
      <t>36.1824 km</t>
    </r>
    <r>
      <rPr>
        <vertAlign val="superscript"/>
        <sz val="12"/>
        <color theme="1"/>
        <rFont val="Times New Roman"/>
        <family val="1"/>
      </rPr>
      <t>2</t>
    </r>
  </si>
  <si>
    <r>
      <t>89.1732 km</t>
    </r>
    <r>
      <rPr>
        <vertAlign val="superscript"/>
        <sz val="12"/>
        <color theme="1"/>
        <rFont val="Times New Roman"/>
        <family val="1"/>
      </rPr>
      <t>2</t>
    </r>
  </si>
  <si>
    <r>
      <t>38.2284 km</t>
    </r>
    <r>
      <rPr>
        <vertAlign val="superscript"/>
        <sz val="12"/>
        <color theme="1"/>
        <rFont val="Times New Roman"/>
        <family val="1"/>
      </rPr>
      <t>2</t>
    </r>
  </si>
  <si>
    <t>SOCIETE GUINEENNE D'INGENIERIE ET DE PRESTATIONS MINIERES SARLU</t>
  </si>
  <si>
    <r>
      <t>90.3408 km</t>
    </r>
    <r>
      <rPr>
        <vertAlign val="superscript"/>
        <sz val="12"/>
        <color theme="1"/>
        <rFont val="Times New Roman"/>
        <family val="1"/>
      </rPr>
      <t>2</t>
    </r>
  </si>
  <si>
    <t>SOCIETE TAMONY MINING SERVICES SARLU</t>
  </si>
  <si>
    <r>
      <t>53.2399 km</t>
    </r>
    <r>
      <rPr>
        <vertAlign val="superscript"/>
        <sz val="12"/>
        <color theme="1"/>
        <rFont val="Times New Roman"/>
        <family val="1"/>
      </rPr>
      <t>2</t>
    </r>
  </si>
  <si>
    <t>SOCIETE GRM SARL</t>
  </si>
  <si>
    <r>
      <t>29.4959 km</t>
    </r>
    <r>
      <rPr>
        <vertAlign val="superscript"/>
        <sz val="12"/>
        <color theme="1"/>
        <rFont val="Times New Roman"/>
        <family val="1"/>
      </rPr>
      <t>2</t>
    </r>
  </si>
  <si>
    <r>
      <t>47.3822 km</t>
    </r>
    <r>
      <rPr>
        <vertAlign val="superscript"/>
        <sz val="12"/>
        <color theme="1"/>
        <rFont val="Times New Roman"/>
        <family val="1"/>
      </rPr>
      <t>2</t>
    </r>
  </si>
  <si>
    <r>
      <t>67.9710 km</t>
    </r>
    <r>
      <rPr>
        <vertAlign val="superscript"/>
        <sz val="12"/>
        <color theme="1"/>
        <rFont val="Times New Roman"/>
        <family val="1"/>
      </rPr>
      <t>2</t>
    </r>
  </si>
  <si>
    <t>SOCIETE MINES AND RAILS CORPORATE SARLU</t>
  </si>
  <si>
    <r>
      <t>99.4297 km</t>
    </r>
    <r>
      <rPr>
        <vertAlign val="superscript"/>
        <sz val="12"/>
        <color theme="1"/>
        <rFont val="Times New Roman"/>
        <family val="1"/>
      </rPr>
      <t>2</t>
    </r>
  </si>
  <si>
    <t>SOCIETE MINIERE DE NAFADJI (SMN)</t>
  </si>
  <si>
    <r>
      <t>42.2708 km</t>
    </r>
    <r>
      <rPr>
        <vertAlign val="superscript"/>
        <sz val="12"/>
        <color theme="1"/>
        <rFont val="Times New Roman"/>
        <family val="1"/>
      </rPr>
      <t>2</t>
    </r>
  </si>
  <si>
    <t>SOCIETE JIANGYAN MINE (100%)</t>
  </si>
  <si>
    <r>
      <t>45.7480 km</t>
    </r>
    <r>
      <rPr>
        <vertAlign val="superscript"/>
        <sz val="12"/>
        <color theme="1"/>
        <rFont val="Times New Roman"/>
        <family val="1"/>
      </rPr>
      <t>2</t>
    </r>
  </si>
  <si>
    <t>SOCIETE KOBAL SARL</t>
  </si>
  <si>
    <r>
      <t>198.7445 km</t>
    </r>
    <r>
      <rPr>
        <vertAlign val="superscript"/>
        <sz val="12"/>
        <color theme="1"/>
        <rFont val="Times New Roman"/>
        <family val="1"/>
      </rPr>
      <t>2</t>
    </r>
  </si>
  <si>
    <r>
      <t>97.9298 km</t>
    </r>
    <r>
      <rPr>
        <vertAlign val="superscript"/>
        <sz val="12"/>
        <color theme="1"/>
        <rFont val="Times New Roman"/>
        <family val="1"/>
      </rPr>
      <t>2</t>
    </r>
  </si>
  <si>
    <r>
      <t>99.7113 km</t>
    </r>
    <r>
      <rPr>
        <vertAlign val="superscript"/>
        <sz val="12"/>
        <color theme="1"/>
        <rFont val="Times New Roman"/>
        <family val="1"/>
      </rPr>
      <t>2</t>
    </r>
  </si>
  <si>
    <t>SOCIETE HYDROMIN INTL</t>
  </si>
  <si>
    <r>
      <t>78.0000 km</t>
    </r>
    <r>
      <rPr>
        <vertAlign val="superscript"/>
        <sz val="12"/>
        <color theme="1"/>
        <rFont val="Times New Roman"/>
        <family val="1"/>
      </rPr>
      <t>2</t>
    </r>
  </si>
  <si>
    <t>SOCIETE ALA MINING SARL</t>
  </si>
  <si>
    <r>
      <t>99.3160 km</t>
    </r>
    <r>
      <rPr>
        <vertAlign val="superscript"/>
        <sz val="12"/>
        <color theme="1"/>
        <rFont val="Times New Roman"/>
        <family val="1"/>
      </rPr>
      <t>2</t>
    </r>
  </si>
  <si>
    <r>
      <t>99.3379 km</t>
    </r>
    <r>
      <rPr>
        <vertAlign val="superscript"/>
        <sz val="12"/>
        <color theme="1"/>
        <rFont val="Times New Roman"/>
        <family val="1"/>
      </rPr>
      <t>2</t>
    </r>
  </si>
  <si>
    <t>SOCIETE GOLDEN RIM RESOURCES GUINEA SARLU</t>
  </si>
  <si>
    <r>
      <t>99.9411 km</t>
    </r>
    <r>
      <rPr>
        <vertAlign val="superscript"/>
        <sz val="12"/>
        <color theme="1"/>
        <rFont val="Times New Roman"/>
        <family val="1"/>
      </rPr>
      <t>2</t>
    </r>
  </si>
  <si>
    <r>
      <t>99.0256 km</t>
    </r>
    <r>
      <rPr>
        <vertAlign val="superscript"/>
        <sz val="12"/>
        <color theme="1"/>
        <rFont val="Times New Roman"/>
        <family val="1"/>
      </rPr>
      <t>2</t>
    </r>
  </si>
  <si>
    <t>SARMIN BAUXITE GUINEE SARLU (100%)</t>
  </si>
  <si>
    <r>
      <t>248.9822 km</t>
    </r>
    <r>
      <rPr>
        <vertAlign val="superscript"/>
        <sz val="12"/>
        <color theme="1"/>
        <rFont val="Times New Roman"/>
        <family val="1"/>
      </rPr>
      <t>2</t>
    </r>
  </si>
  <si>
    <t>KINDIA RESSOURCES SARLU</t>
  </si>
  <si>
    <r>
      <t>99.9785 km</t>
    </r>
    <r>
      <rPr>
        <vertAlign val="superscript"/>
        <sz val="12"/>
        <color theme="1"/>
        <rFont val="Times New Roman"/>
        <family val="1"/>
      </rPr>
      <t>2</t>
    </r>
  </si>
  <si>
    <r>
      <t>30.1204 km</t>
    </r>
    <r>
      <rPr>
        <vertAlign val="superscript"/>
        <sz val="12"/>
        <color theme="1"/>
        <rFont val="Times New Roman"/>
        <family val="1"/>
      </rPr>
      <t>2</t>
    </r>
  </si>
  <si>
    <r>
      <t>26.1314 km</t>
    </r>
    <r>
      <rPr>
        <vertAlign val="superscript"/>
        <sz val="12"/>
        <color theme="1"/>
        <rFont val="Times New Roman"/>
        <family val="1"/>
      </rPr>
      <t>2</t>
    </r>
  </si>
  <si>
    <t>CONSOLIDATED MINING CORPORATIOIN GUINEA SARL (100%)</t>
  </si>
  <si>
    <r>
      <t>60.2707 km</t>
    </r>
    <r>
      <rPr>
        <vertAlign val="superscript"/>
        <sz val="12"/>
        <color theme="1"/>
        <rFont val="Times New Roman"/>
        <family val="1"/>
      </rPr>
      <t>2</t>
    </r>
  </si>
  <si>
    <r>
      <t>80.6462 km</t>
    </r>
    <r>
      <rPr>
        <vertAlign val="superscript"/>
        <sz val="12"/>
        <color theme="1"/>
        <rFont val="Times New Roman"/>
        <family val="1"/>
      </rPr>
      <t>2</t>
    </r>
  </si>
  <si>
    <r>
      <t>22.1702 km</t>
    </r>
    <r>
      <rPr>
        <vertAlign val="superscript"/>
        <sz val="12"/>
        <color theme="1"/>
        <rFont val="Times New Roman"/>
        <family val="1"/>
      </rPr>
      <t>2</t>
    </r>
  </si>
  <si>
    <t>M.G.C MINERAL RESOURCES SARL (100%)</t>
  </si>
  <si>
    <r>
      <t>85.4807 km</t>
    </r>
    <r>
      <rPr>
        <vertAlign val="superscript"/>
        <sz val="12"/>
        <color theme="1"/>
        <rFont val="Times New Roman"/>
        <family val="1"/>
      </rPr>
      <t>2</t>
    </r>
  </si>
  <si>
    <t>GOLD MINING EXPLORATION SARL (100%)</t>
  </si>
  <si>
    <r>
      <t>99.5435 km</t>
    </r>
    <r>
      <rPr>
        <vertAlign val="superscript"/>
        <sz val="12"/>
        <color theme="1"/>
        <rFont val="Times New Roman"/>
        <family val="1"/>
      </rPr>
      <t>2</t>
    </r>
  </si>
  <si>
    <r>
      <t>30.0221 km</t>
    </r>
    <r>
      <rPr>
        <vertAlign val="superscript"/>
        <sz val="12"/>
        <color theme="1"/>
        <rFont val="Times New Roman"/>
        <family val="1"/>
      </rPr>
      <t>2</t>
    </r>
  </si>
  <si>
    <t>NATURE EXPLORATION &amp; DISCOVERY SARLU (100%)</t>
  </si>
  <si>
    <r>
      <t>80.1970 km</t>
    </r>
    <r>
      <rPr>
        <vertAlign val="superscript"/>
        <sz val="12"/>
        <color theme="1"/>
        <rFont val="Times New Roman"/>
        <family val="1"/>
      </rPr>
      <t>2</t>
    </r>
  </si>
  <si>
    <r>
      <t>19.0453 km</t>
    </r>
    <r>
      <rPr>
        <vertAlign val="superscript"/>
        <sz val="12"/>
        <color theme="1"/>
        <rFont val="Times New Roman"/>
        <family val="1"/>
      </rPr>
      <t>2</t>
    </r>
  </si>
  <si>
    <t>FIRST METAL SARLU</t>
  </si>
  <si>
    <r>
      <t>182.5391 km</t>
    </r>
    <r>
      <rPr>
        <vertAlign val="superscript"/>
        <sz val="12"/>
        <color theme="1"/>
        <rFont val="Times New Roman"/>
        <family val="1"/>
      </rPr>
      <t>2</t>
    </r>
  </si>
  <si>
    <t>SOCIETE MINERGY GUINEA SARLU</t>
  </si>
  <si>
    <r>
      <t>311.7737 km</t>
    </r>
    <r>
      <rPr>
        <vertAlign val="superscript"/>
        <sz val="12"/>
        <color theme="1"/>
        <rFont val="Times New Roman"/>
        <family val="1"/>
      </rPr>
      <t>2</t>
    </r>
  </si>
  <si>
    <t>SOCIETE VIDERI ENTREPRISES SARL</t>
  </si>
  <si>
    <r>
      <t>79.1047 km</t>
    </r>
    <r>
      <rPr>
        <vertAlign val="superscript"/>
        <sz val="12"/>
        <color theme="1"/>
        <rFont val="Times New Roman"/>
        <family val="1"/>
      </rPr>
      <t>2</t>
    </r>
  </si>
  <si>
    <t>SOCIETE GUINEA MINERALS RESOURCES SARL</t>
  </si>
  <si>
    <r>
      <t>42.8053 km</t>
    </r>
    <r>
      <rPr>
        <vertAlign val="superscript"/>
        <sz val="12"/>
        <color theme="1"/>
        <rFont val="Times New Roman"/>
        <family val="1"/>
      </rPr>
      <t>2</t>
    </r>
  </si>
  <si>
    <t>SOCIETE MOKATOUR CONSULTING GROUP SARL</t>
  </si>
  <si>
    <r>
      <t>252.3668 km</t>
    </r>
    <r>
      <rPr>
        <vertAlign val="superscript"/>
        <sz val="12"/>
        <color theme="1"/>
        <rFont val="Times New Roman"/>
        <family val="1"/>
      </rPr>
      <t>2</t>
    </r>
  </si>
  <si>
    <t>QIXING GUINEE SA (100%)</t>
  </si>
  <si>
    <r>
      <t>108.9259 km</t>
    </r>
    <r>
      <rPr>
        <vertAlign val="superscript"/>
        <sz val="12"/>
        <color theme="1"/>
        <rFont val="Times New Roman"/>
        <family val="1"/>
      </rPr>
      <t>2</t>
    </r>
  </si>
  <si>
    <t>SOCIETE GUINEENNE D'EXPLOITATION DES MINES &amp; METAUX SA</t>
  </si>
  <si>
    <r>
      <t>50.1670 km</t>
    </r>
    <r>
      <rPr>
        <vertAlign val="superscript"/>
        <sz val="12"/>
        <color theme="1"/>
        <rFont val="Times New Roman"/>
        <family val="1"/>
      </rPr>
      <t>2</t>
    </r>
  </si>
  <si>
    <t>SOCIETE ENDEAVOUR GUINEE SARLU (100%)</t>
  </si>
  <si>
    <r>
      <t>34.4289 km</t>
    </r>
    <r>
      <rPr>
        <vertAlign val="superscript"/>
        <sz val="12"/>
        <color theme="1"/>
        <rFont val="Times New Roman"/>
        <family val="1"/>
      </rPr>
      <t>2</t>
    </r>
  </si>
  <si>
    <r>
      <t>23.6710 km</t>
    </r>
    <r>
      <rPr>
        <vertAlign val="superscript"/>
        <sz val="12"/>
        <color theme="1"/>
        <rFont val="Times New Roman"/>
        <family val="1"/>
      </rPr>
      <t>2</t>
    </r>
  </si>
  <si>
    <r>
      <t>26.1382 km</t>
    </r>
    <r>
      <rPr>
        <vertAlign val="superscript"/>
        <sz val="12"/>
        <color theme="1"/>
        <rFont val="Times New Roman"/>
        <family val="1"/>
      </rPr>
      <t>2</t>
    </r>
  </si>
  <si>
    <r>
      <t>49.2340 km</t>
    </r>
    <r>
      <rPr>
        <vertAlign val="superscript"/>
        <sz val="12"/>
        <color theme="1"/>
        <rFont val="Times New Roman"/>
        <family val="1"/>
      </rPr>
      <t>2</t>
    </r>
  </si>
  <si>
    <r>
      <t>82.2866 km</t>
    </r>
    <r>
      <rPr>
        <vertAlign val="superscript"/>
        <sz val="12"/>
        <color theme="1"/>
        <rFont val="Times New Roman"/>
        <family val="1"/>
      </rPr>
      <t>2</t>
    </r>
  </si>
  <si>
    <t>SOCIETE SOSIM MINING SARLU</t>
  </si>
  <si>
    <r>
      <t>19.1525 km</t>
    </r>
    <r>
      <rPr>
        <vertAlign val="superscript"/>
        <sz val="12"/>
        <color theme="1"/>
        <rFont val="Times New Roman"/>
        <family val="1"/>
      </rPr>
      <t>2</t>
    </r>
  </si>
  <si>
    <t>SOCIETE SHUANG FENG SARLU</t>
  </si>
  <si>
    <r>
      <t>64.8103 km</t>
    </r>
    <r>
      <rPr>
        <vertAlign val="superscript"/>
        <sz val="12"/>
        <color theme="1"/>
        <rFont val="Times New Roman"/>
        <family val="1"/>
      </rPr>
      <t>2</t>
    </r>
  </si>
  <si>
    <t>SOCIETE PENTA GOLDFIELDS COMPANY SAU</t>
  </si>
  <si>
    <r>
      <t>90.3665 km</t>
    </r>
    <r>
      <rPr>
        <vertAlign val="superscript"/>
        <sz val="12"/>
        <color theme="1"/>
        <rFont val="Times New Roman"/>
        <family val="1"/>
      </rPr>
      <t>2</t>
    </r>
  </si>
  <si>
    <r>
      <t>53.7827 km</t>
    </r>
    <r>
      <rPr>
        <vertAlign val="superscript"/>
        <sz val="12"/>
        <color theme="1"/>
        <rFont val="Times New Roman"/>
        <family val="1"/>
      </rPr>
      <t>2</t>
    </r>
  </si>
  <si>
    <r>
      <t>43.2525 km</t>
    </r>
    <r>
      <rPr>
        <vertAlign val="superscript"/>
        <sz val="12"/>
        <color theme="1"/>
        <rFont val="Times New Roman"/>
        <family val="1"/>
      </rPr>
      <t>2</t>
    </r>
  </si>
  <si>
    <t>2.5646 Ha</t>
  </si>
  <si>
    <t>3.6045 Ha</t>
  </si>
  <si>
    <t>ALUFER - PITA -LABE SA</t>
  </si>
  <si>
    <r>
      <t>795.8030 km</t>
    </r>
    <r>
      <rPr>
        <vertAlign val="superscript"/>
        <sz val="12"/>
        <color theme="1"/>
        <rFont val="Times New Roman"/>
        <family val="1"/>
      </rPr>
      <t>2</t>
    </r>
  </si>
  <si>
    <r>
      <t>99.4195 km</t>
    </r>
    <r>
      <rPr>
        <vertAlign val="superscript"/>
        <sz val="12"/>
        <color theme="1"/>
        <rFont val="Times New Roman"/>
        <family val="1"/>
      </rPr>
      <t>2</t>
    </r>
  </si>
  <si>
    <t>AVENIR INDUSTRIE DE GUINEE SARL</t>
  </si>
  <si>
    <t>1.0227 Ha</t>
  </si>
  <si>
    <t>SOCIETE GEFECO SARL</t>
  </si>
  <si>
    <t>5.9805 Ha</t>
  </si>
  <si>
    <t>SHUANG FENG SARL</t>
  </si>
  <si>
    <r>
      <t>99.9382 km</t>
    </r>
    <r>
      <rPr>
        <vertAlign val="superscript"/>
        <sz val="12"/>
        <color theme="1"/>
        <rFont val="Times New Roman"/>
        <family val="1"/>
      </rPr>
      <t>2</t>
    </r>
  </si>
  <si>
    <t>ORDIAMEX INTERNATIONAL SA</t>
  </si>
  <si>
    <r>
      <t>98.8959 km</t>
    </r>
    <r>
      <rPr>
        <vertAlign val="superscript"/>
        <sz val="12"/>
        <color theme="1"/>
        <rFont val="Times New Roman"/>
        <family val="1"/>
      </rPr>
      <t>2</t>
    </r>
  </si>
  <si>
    <t>12.6009 Ha</t>
  </si>
  <si>
    <t>5.6399 Ha</t>
  </si>
  <si>
    <t>4.0472 Ha</t>
  </si>
  <si>
    <t>7.0529 Ha</t>
  </si>
  <si>
    <t>SOCIETE FRIA RESOURCES MINING SAU</t>
  </si>
  <si>
    <r>
      <t>272.3289 km</t>
    </r>
    <r>
      <rPr>
        <vertAlign val="superscript"/>
        <sz val="12"/>
        <color theme="1"/>
        <rFont val="Times New Roman"/>
        <family val="1"/>
      </rPr>
      <t>2</t>
    </r>
  </si>
  <si>
    <t>BABI &amp; SA</t>
  </si>
  <si>
    <t>Cuivre</t>
  </si>
  <si>
    <r>
      <t>88.0413 km</t>
    </r>
    <r>
      <rPr>
        <vertAlign val="superscript"/>
        <sz val="12"/>
        <color theme="1"/>
        <rFont val="Times New Roman"/>
        <family val="1"/>
      </rPr>
      <t>2</t>
    </r>
  </si>
  <si>
    <t>A/2019/3952/MMG/SGG</t>
  </si>
  <si>
    <t>ZS</t>
  </si>
  <si>
    <t>Sables Noirs, Titane, Zircon</t>
  </si>
  <si>
    <r>
      <t>374.6939 km</t>
    </r>
    <r>
      <rPr>
        <vertAlign val="superscript"/>
        <sz val="12"/>
        <color theme="1"/>
        <rFont val="Times New Roman"/>
        <family val="1"/>
      </rPr>
      <t>2</t>
    </r>
  </si>
  <si>
    <r>
      <t>179.4664 km</t>
    </r>
    <r>
      <rPr>
        <vertAlign val="superscript"/>
        <sz val="12"/>
        <color theme="1"/>
        <rFont val="Times New Roman"/>
        <family val="1"/>
      </rPr>
      <t>2</t>
    </r>
  </si>
  <si>
    <r>
      <t>37.1806 km</t>
    </r>
    <r>
      <rPr>
        <vertAlign val="superscript"/>
        <sz val="12"/>
        <color theme="1"/>
        <rFont val="Times New Roman"/>
        <family val="1"/>
      </rPr>
      <t>2</t>
    </r>
  </si>
  <si>
    <r>
      <t>98.1104 km</t>
    </r>
    <r>
      <rPr>
        <vertAlign val="superscript"/>
        <sz val="12"/>
        <color theme="1"/>
        <rFont val="Times New Roman"/>
        <family val="1"/>
      </rPr>
      <t>2</t>
    </r>
  </si>
  <si>
    <t>18.1933 Ha</t>
  </si>
  <si>
    <t>NIOUMALA DIADY GOLD MINING SARL</t>
  </si>
  <si>
    <r>
      <t>99.8313 km</t>
    </r>
    <r>
      <rPr>
        <vertAlign val="superscript"/>
        <sz val="12"/>
        <color theme="1"/>
        <rFont val="Times New Roman"/>
        <family val="1"/>
      </rPr>
      <t>2</t>
    </r>
  </si>
  <si>
    <r>
      <t>332.3173 km</t>
    </r>
    <r>
      <rPr>
        <vertAlign val="superscript"/>
        <sz val="12"/>
        <color theme="1"/>
        <rFont val="Times New Roman"/>
        <family val="1"/>
      </rPr>
      <t>2</t>
    </r>
  </si>
  <si>
    <t>VLAMID GOLD MINING SARL</t>
  </si>
  <si>
    <r>
      <t>36.7828 km</t>
    </r>
    <r>
      <rPr>
        <vertAlign val="superscript"/>
        <sz val="12"/>
        <color theme="1"/>
        <rFont val="Times New Roman"/>
        <family val="1"/>
      </rPr>
      <t>2</t>
    </r>
  </si>
  <si>
    <t>GUINEA CROWN MINING COMPANY SA</t>
  </si>
  <si>
    <t>1.9061 Ha</t>
  </si>
  <si>
    <t>5.0323 Ha</t>
  </si>
  <si>
    <t>SHANGHAI PU-ZHEN-SARLU (100%)</t>
  </si>
  <si>
    <t>8.3824 Ha</t>
  </si>
  <si>
    <r>
      <t>99.9474 km</t>
    </r>
    <r>
      <rPr>
        <vertAlign val="superscript"/>
        <sz val="12"/>
        <color theme="1"/>
        <rFont val="Times New Roman"/>
        <family val="1"/>
      </rPr>
      <t>2</t>
    </r>
  </si>
  <si>
    <r>
      <t>38.7294 km</t>
    </r>
    <r>
      <rPr>
        <vertAlign val="superscript"/>
        <sz val="12"/>
        <color theme="1"/>
        <rFont val="Times New Roman"/>
        <family val="1"/>
      </rPr>
      <t>2</t>
    </r>
  </si>
  <si>
    <t>SOCIETE CAMEN RESOURCES SARL (100%)</t>
  </si>
  <si>
    <t>4.7456 Ha</t>
  </si>
  <si>
    <t>METALS &amp; MINERAL TRADING SARL</t>
  </si>
  <si>
    <r>
      <t>44.7850 km</t>
    </r>
    <r>
      <rPr>
        <vertAlign val="superscript"/>
        <sz val="12"/>
        <color theme="1"/>
        <rFont val="Times New Roman"/>
        <family val="1"/>
      </rPr>
      <t>2</t>
    </r>
  </si>
  <si>
    <t>10.0084 Ha</t>
  </si>
  <si>
    <t>ETS.EGUICOM SARL</t>
  </si>
  <si>
    <r>
      <t>98.6530 km</t>
    </r>
    <r>
      <rPr>
        <vertAlign val="superscript"/>
        <sz val="12"/>
        <color theme="1"/>
        <rFont val="Times New Roman"/>
        <family val="1"/>
      </rPr>
      <t>2</t>
    </r>
  </si>
  <si>
    <t>SOCIETE GROUPE DURAC SARL</t>
  </si>
  <si>
    <r>
      <t>18.0171 km</t>
    </r>
    <r>
      <rPr>
        <vertAlign val="superscript"/>
        <sz val="12"/>
        <color theme="1"/>
        <rFont val="Times New Roman"/>
        <family val="1"/>
      </rPr>
      <t>2</t>
    </r>
  </si>
  <si>
    <r>
      <t>43.6960 km</t>
    </r>
    <r>
      <rPr>
        <vertAlign val="superscript"/>
        <sz val="12"/>
        <color theme="1"/>
        <rFont val="Times New Roman"/>
        <family val="1"/>
      </rPr>
      <t>2</t>
    </r>
  </si>
  <si>
    <t>ETS.C.K.SARLU</t>
  </si>
  <si>
    <r>
      <t>99.8046 km</t>
    </r>
    <r>
      <rPr>
        <vertAlign val="superscript"/>
        <sz val="12"/>
        <color theme="1"/>
        <rFont val="Times New Roman"/>
        <family val="1"/>
      </rPr>
      <t>2</t>
    </r>
  </si>
  <si>
    <t>ALJAN GUINEE SARL</t>
  </si>
  <si>
    <r>
      <t>99.8727 km</t>
    </r>
    <r>
      <rPr>
        <vertAlign val="superscript"/>
        <sz val="12"/>
        <color theme="1"/>
        <rFont val="Times New Roman"/>
        <family val="1"/>
      </rPr>
      <t>2</t>
    </r>
  </si>
  <si>
    <t>T CONNET GROUP SARL (100%)</t>
  </si>
  <si>
    <r>
      <t>60.0836 km</t>
    </r>
    <r>
      <rPr>
        <vertAlign val="superscript"/>
        <sz val="12"/>
        <color theme="1"/>
        <rFont val="Times New Roman"/>
        <family val="1"/>
      </rPr>
      <t>2</t>
    </r>
  </si>
  <si>
    <t>8.5479 Ha</t>
  </si>
  <si>
    <t>JAVALON GUINEA SARL (100%)</t>
  </si>
  <si>
    <r>
      <t>93.7703 km</t>
    </r>
    <r>
      <rPr>
        <vertAlign val="superscript"/>
        <sz val="12"/>
        <color theme="1"/>
        <rFont val="Times New Roman"/>
        <family val="1"/>
      </rPr>
      <t>2</t>
    </r>
  </si>
  <si>
    <t>SOCIETE GUINEENNE DE PRESTATION ET D'EXPLOITATION MINIERE SARL</t>
  </si>
  <si>
    <r>
      <t>91.9048 km</t>
    </r>
    <r>
      <rPr>
        <vertAlign val="superscript"/>
        <sz val="12"/>
        <color theme="1"/>
        <rFont val="Times New Roman"/>
        <family val="1"/>
      </rPr>
      <t>2</t>
    </r>
  </si>
  <si>
    <t>AMINE MINING SARL (100%)</t>
  </si>
  <si>
    <t>7.8620 Ha</t>
  </si>
  <si>
    <t>HAI LIN INTERNATIONAL SARLU (100%)</t>
  </si>
  <si>
    <t>5.4720 Ha</t>
  </si>
  <si>
    <t>3.1588 Ha</t>
  </si>
  <si>
    <t>DEMANDE Car SOUMAORO CONSTRUCTION (100%)</t>
  </si>
  <si>
    <t>1.5075 Ha</t>
  </si>
  <si>
    <t>FORTUNE CONSTRUCTION CONSORTIUM SA</t>
  </si>
  <si>
    <t>10.9913 Ha</t>
  </si>
  <si>
    <t>SOCIETE TAIBA GRANULAT SARL</t>
  </si>
  <si>
    <t>5.5147 Ha</t>
  </si>
  <si>
    <t>SOCIETE TERRA MINING RESSOURCES SARL</t>
  </si>
  <si>
    <r>
      <t>300.8254 km</t>
    </r>
    <r>
      <rPr>
        <vertAlign val="superscript"/>
        <sz val="12"/>
        <color theme="1"/>
        <rFont val="Times New Roman"/>
        <family val="1"/>
      </rPr>
      <t>2</t>
    </r>
  </si>
  <si>
    <t>UNIVERSAL MINING SARLU</t>
  </si>
  <si>
    <r>
      <t>248.6678 km</t>
    </r>
    <r>
      <rPr>
        <vertAlign val="superscript"/>
        <sz val="12"/>
        <color theme="1"/>
        <rFont val="Times New Roman"/>
        <family val="1"/>
      </rPr>
      <t>2</t>
    </r>
  </si>
  <si>
    <t>SOCIETE GLOBAL ALUMINA</t>
  </si>
  <si>
    <r>
      <t>690.2000 km</t>
    </r>
    <r>
      <rPr>
        <vertAlign val="superscript"/>
        <sz val="12"/>
        <color theme="1"/>
        <rFont val="Times New Roman"/>
        <family val="1"/>
      </rPr>
      <t>2</t>
    </r>
  </si>
  <si>
    <t>AZ</t>
  </si>
  <si>
    <r>
      <t>2070.0629 km</t>
    </r>
    <r>
      <rPr>
        <vertAlign val="superscript"/>
        <sz val="12"/>
        <color theme="1"/>
        <rFont val="Times New Roman"/>
        <family val="1"/>
      </rPr>
      <t>2</t>
    </r>
  </si>
  <si>
    <r>
      <t>22.5894 km</t>
    </r>
    <r>
      <rPr>
        <vertAlign val="superscript"/>
        <sz val="12"/>
        <color theme="1"/>
        <rFont val="Times New Roman"/>
        <family val="1"/>
      </rPr>
      <t>2</t>
    </r>
  </si>
  <si>
    <r>
      <t>29.1751 km</t>
    </r>
    <r>
      <rPr>
        <vertAlign val="superscript"/>
        <sz val="12"/>
        <color theme="1"/>
        <rFont val="Times New Roman"/>
        <family val="1"/>
      </rPr>
      <t>2</t>
    </r>
  </si>
  <si>
    <r>
      <t>433.9576 km</t>
    </r>
    <r>
      <rPr>
        <vertAlign val="superscript"/>
        <sz val="12"/>
        <color theme="1"/>
        <rFont val="Times New Roman"/>
        <family val="1"/>
      </rPr>
      <t>2</t>
    </r>
  </si>
  <si>
    <r>
      <t>539.1653 km</t>
    </r>
    <r>
      <rPr>
        <vertAlign val="superscript"/>
        <sz val="12"/>
        <color theme="1"/>
        <rFont val="Times New Roman"/>
        <family val="1"/>
      </rPr>
      <t>2</t>
    </r>
  </si>
  <si>
    <r>
      <t>375.0662 km</t>
    </r>
    <r>
      <rPr>
        <vertAlign val="superscript"/>
        <sz val="12"/>
        <color theme="1"/>
        <rFont val="Times New Roman"/>
        <family val="1"/>
      </rPr>
      <t>2</t>
    </r>
  </si>
  <si>
    <r>
      <t>254.3738 km</t>
    </r>
    <r>
      <rPr>
        <vertAlign val="superscript"/>
        <sz val="12"/>
        <color theme="1"/>
        <rFont val="Times New Roman"/>
        <family val="1"/>
      </rPr>
      <t>2</t>
    </r>
  </si>
  <si>
    <r>
      <t>322.4932 km</t>
    </r>
    <r>
      <rPr>
        <vertAlign val="superscript"/>
        <sz val="12"/>
        <color theme="1"/>
        <rFont val="Times New Roman"/>
        <family val="1"/>
      </rPr>
      <t>2</t>
    </r>
  </si>
  <si>
    <t>SOCIETE BRACERO CONSTRUCTION</t>
  </si>
  <si>
    <r>
      <t>5.1322 km</t>
    </r>
    <r>
      <rPr>
        <vertAlign val="superscript"/>
        <sz val="12"/>
        <color theme="1"/>
        <rFont val="Times New Roman"/>
        <family val="1"/>
      </rPr>
      <t>2</t>
    </r>
  </si>
  <si>
    <t>Car GRANITE D INDUSTRIE ET DE COMMERCE</t>
  </si>
  <si>
    <t>3.6969 Ha</t>
  </si>
  <si>
    <t>17.8998 Ha</t>
  </si>
  <si>
    <t>Ciments de Guinée S.A</t>
  </si>
  <si>
    <r>
      <t>62.1316 km</t>
    </r>
    <r>
      <rPr>
        <vertAlign val="superscript"/>
        <sz val="12"/>
        <color theme="1"/>
        <rFont val="Times New Roman"/>
        <family val="1"/>
      </rPr>
      <t>2</t>
    </r>
  </si>
  <si>
    <t>3.9316 Ha</t>
  </si>
  <si>
    <t>ENTREPRISE DAHER TRAVAUX PUBLICS MINES &amp; TRANSPORT</t>
  </si>
  <si>
    <t>5.8358 Ha</t>
  </si>
  <si>
    <t>DEMANDE Car SOGEC</t>
  </si>
  <si>
    <t>1.3103 Ha</t>
  </si>
  <si>
    <t>DEMANDE Car SOUMAORO CONSTRUCTION</t>
  </si>
  <si>
    <t>4.0091 Ha</t>
  </si>
  <si>
    <t>9.8584 Ha</t>
  </si>
  <si>
    <t>DEMANDE Car SCETCHCG 02</t>
  </si>
  <si>
    <t>3.6954 Ha</t>
  </si>
  <si>
    <t>7.1713 Ha</t>
  </si>
  <si>
    <t>0.5616 Ha</t>
  </si>
  <si>
    <t>2.3010 Ha</t>
  </si>
  <si>
    <t>Pouzzolane</t>
  </si>
  <si>
    <r>
      <t>96.0251 km</t>
    </r>
    <r>
      <rPr>
        <vertAlign val="superscript"/>
        <sz val="12"/>
        <color theme="1"/>
        <rFont val="Times New Roman"/>
        <family val="1"/>
      </rPr>
      <t>2</t>
    </r>
  </si>
  <si>
    <t>SOCIETE AMINE-MINING</t>
  </si>
  <si>
    <r>
      <t>105.3532 km</t>
    </r>
    <r>
      <rPr>
        <vertAlign val="superscript"/>
        <sz val="12"/>
        <color theme="1"/>
        <rFont val="Times New Roman"/>
        <family val="1"/>
      </rPr>
      <t>2</t>
    </r>
  </si>
  <si>
    <r>
      <t>208.6389 km</t>
    </r>
    <r>
      <rPr>
        <vertAlign val="superscript"/>
        <sz val="12"/>
        <color theme="1"/>
        <rFont val="Times New Roman"/>
        <family val="1"/>
      </rPr>
      <t>2</t>
    </r>
  </si>
  <si>
    <t>EMPORIUM INVESTMENTS S,A</t>
  </si>
  <si>
    <t>4.9605 Ha</t>
  </si>
  <si>
    <t>SCETCHCG</t>
  </si>
  <si>
    <t>2.0621 Ha</t>
  </si>
  <si>
    <t>INTER, D EXPLOI, CARRIERE (S,I,E,C)</t>
  </si>
  <si>
    <t>3.9285 Ha</t>
  </si>
  <si>
    <t>SACKO INGENIERIE ET CONSTRUCTION</t>
  </si>
  <si>
    <t>2.9315 Ha</t>
  </si>
  <si>
    <t>2249.0557 Ha</t>
  </si>
  <si>
    <t>2352.6645 Ha</t>
  </si>
  <si>
    <r>
      <t>0.7843 km</t>
    </r>
    <r>
      <rPr>
        <vertAlign val="superscript"/>
        <sz val="12"/>
        <color theme="1"/>
        <rFont val="Times New Roman"/>
        <family val="1"/>
      </rPr>
      <t>2</t>
    </r>
  </si>
  <si>
    <r>
      <t>0.0187 km</t>
    </r>
    <r>
      <rPr>
        <vertAlign val="superscript"/>
        <sz val="12"/>
        <color theme="1"/>
        <rFont val="Times New Roman"/>
        <family val="1"/>
      </rPr>
      <t>2</t>
    </r>
  </si>
  <si>
    <t>3.3609 Ha</t>
  </si>
  <si>
    <r>
      <t>0.0504 km</t>
    </r>
    <r>
      <rPr>
        <vertAlign val="superscript"/>
        <sz val="12"/>
        <color theme="1"/>
        <rFont val="Times New Roman"/>
        <family val="1"/>
      </rPr>
      <t>2</t>
    </r>
  </si>
  <si>
    <r>
      <t>13.2737 km</t>
    </r>
    <r>
      <rPr>
        <vertAlign val="superscript"/>
        <sz val="12"/>
        <color theme="1"/>
        <rFont val="Times New Roman"/>
        <family val="1"/>
      </rPr>
      <t>2</t>
    </r>
  </si>
  <si>
    <t>2004.8586 Ha</t>
  </si>
  <si>
    <r>
      <t>11.4751 km</t>
    </r>
    <r>
      <rPr>
        <vertAlign val="superscript"/>
        <sz val="12"/>
        <color theme="1"/>
        <rFont val="Times New Roman"/>
        <family val="1"/>
      </rPr>
      <t>2</t>
    </r>
  </si>
  <si>
    <r>
      <t>4.9879 km</t>
    </r>
    <r>
      <rPr>
        <vertAlign val="superscript"/>
        <sz val="12"/>
        <color theme="1"/>
        <rFont val="Times New Roman"/>
        <family val="1"/>
      </rPr>
      <t>2</t>
    </r>
  </si>
  <si>
    <t>Titane, Zircon</t>
  </si>
  <si>
    <r>
      <t>407.0868 km</t>
    </r>
    <r>
      <rPr>
        <vertAlign val="superscript"/>
        <sz val="12"/>
        <color theme="1"/>
        <rFont val="Times New Roman"/>
        <family val="1"/>
      </rPr>
      <t>2</t>
    </r>
  </si>
  <si>
    <t>29.8525 Ha</t>
  </si>
  <si>
    <t>58.7391 Ha</t>
  </si>
  <si>
    <t>1360.7725 Ha</t>
  </si>
  <si>
    <t>138.7997 Ha</t>
  </si>
  <si>
    <t>597.6065 Ha</t>
  </si>
  <si>
    <t>1534.4596 Ha</t>
  </si>
  <si>
    <r>
      <t>293.1175 km</t>
    </r>
    <r>
      <rPr>
        <vertAlign val="superscript"/>
        <sz val="12"/>
        <color theme="1"/>
        <rFont val="Times New Roman"/>
        <family val="1"/>
      </rPr>
      <t>2</t>
    </r>
  </si>
  <si>
    <r>
      <t>398.6820 km</t>
    </r>
    <r>
      <rPr>
        <vertAlign val="superscript"/>
        <sz val="12"/>
        <color theme="1"/>
        <rFont val="Times New Roman"/>
        <family val="1"/>
      </rPr>
      <t>2</t>
    </r>
  </si>
  <si>
    <r>
      <t>385.3906 km</t>
    </r>
    <r>
      <rPr>
        <vertAlign val="superscript"/>
        <sz val="12"/>
        <color theme="1"/>
        <rFont val="Times New Roman"/>
        <family val="1"/>
      </rPr>
      <t>2</t>
    </r>
  </si>
  <si>
    <r>
      <t>74.1378 km</t>
    </r>
    <r>
      <rPr>
        <vertAlign val="superscript"/>
        <sz val="12"/>
        <color theme="1"/>
        <rFont val="Times New Roman"/>
        <family val="1"/>
      </rPr>
      <t>2</t>
    </r>
  </si>
  <si>
    <r>
      <t>3.2118 km</t>
    </r>
    <r>
      <rPr>
        <vertAlign val="superscript"/>
        <sz val="12"/>
        <color theme="1"/>
        <rFont val="Times New Roman"/>
        <family val="1"/>
      </rPr>
      <t>2</t>
    </r>
  </si>
  <si>
    <r>
      <t>48.5740 km</t>
    </r>
    <r>
      <rPr>
        <vertAlign val="superscript"/>
        <sz val="12"/>
        <color theme="1"/>
        <rFont val="Times New Roman"/>
        <family val="1"/>
      </rPr>
      <t>2</t>
    </r>
  </si>
  <si>
    <t>1999.8509 Ha</t>
  </si>
  <si>
    <t>2557.8897 Ha</t>
  </si>
  <si>
    <r>
      <t>26.1692 km</t>
    </r>
    <r>
      <rPr>
        <vertAlign val="superscript"/>
        <sz val="12"/>
        <color theme="1"/>
        <rFont val="Times New Roman"/>
        <family val="1"/>
      </rPr>
      <t>2</t>
    </r>
  </si>
  <si>
    <r>
      <t>20.1968 km</t>
    </r>
    <r>
      <rPr>
        <vertAlign val="superscript"/>
        <sz val="12"/>
        <color theme="1"/>
        <rFont val="Times New Roman"/>
        <family val="1"/>
      </rPr>
      <t>2</t>
    </r>
  </si>
  <si>
    <r>
      <t>228.5422 km</t>
    </r>
    <r>
      <rPr>
        <vertAlign val="superscript"/>
        <sz val="12"/>
        <color theme="1"/>
        <rFont val="Times New Roman"/>
        <family val="1"/>
      </rPr>
      <t>2</t>
    </r>
  </si>
  <si>
    <r>
      <t>11.8574 km</t>
    </r>
    <r>
      <rPr>
        <vertAlign val="superscript"/>
        <sz val="12"/>
        <color theme="1"/>
        <rFont val="Times New Roman"/>
        <family val="1"/>
      </rPr>
      <t>2</t>
    </r>
  </si>
  <si>
    <t>104.4618 Ha</t>
  </si>
  <si>
    <r>
      <t>32.4516 km</t>
    </r>
    <r>
      <rPr>
        <vertAlign val="superscript"/>
        <sz val="12"/>
        <color theme="1"/>
        <rFont val="Times New Roman"/>
        <family val="1"/>
      </rPr>
      <t>2</t>
    </r>
  </si>
  <si>
    <r>
      <t>0.0523 km</t>
    </r>
    <r>
      <rPr>
        <vertAlign val="superscript"/>
        <sz val="12"/>
        <color theme="1"/>
        <rFont val="Times New Roman"/>
        <family val="1"/>
      </rPr>
      <t>2</t>
    </r>
  </si>
  <si>
    <t>2879.0920 Ha</t>
  </si>
  <si>
    <r>
      <t>10.2656 km</t>
    </r>
    <r>
      <rPr>
        <vertAlign val="superscript"/>
        <sz val="12"/>
        <color theme="1"/>
        <rFont val="Times New Roman"/>
        <family val="1"/>
      </rPr>
      <t>2</t>
    </r>
  </si>
  <si>
    <r>
      <t>98.0000 km</t>
    </r>
    <r>
      <rPr>
        <vertAlign val="superscript"/>
        <sz val="12"/>
        <color theme="1"/>
        <rFont val="Times New Roman"/>
        <family val="1"/>
      </rPr>
      <t>2</t>
    </r>
  </si>
  <si>
    <t>7261.6591 Ha</t>
  </si>
  <si>
    <t>23.3030 Ha</t>
  </si>
  <si>
    <r>
      <t>407.2735 km</t>
    </r>
    <r>
      <rPr>
        <vertAlign val="superscript"/>
        <sz val="12"/>
        <color theme="1"/>
        <rFont val="Times New Roman"/>
        <family val="1"/>
      </rPr>
      <t>2</t>
    </r>
  </si>
  <si>
    <t>698.2666 Ha</t>
  </si>
  <si>
    <t>27.2028 Ha</t>
  </si>
  <si>
    <t>ABDOULAYE MAGASSOUBA; MMG</t>
  </si>
  <si>
    <r>
      <t>968.0643 km</t>
    </r>
    <r>
      <rPr>
        <vertAlign val="superscript"/>
        <sz val="12"/>
        <color theme="1"/>
        <rFont val="Times New Roman"/>
        <family val="1"/>
      </rPr>
      <t>2</t>
    </r>
  </si>
  <si>
    <t>1558.4796 Ha</t>
  </si>
  <si>
    <t>5.6718 Ha</t>
  </si>
  <si>
    <r>
      <t>522.3191 km</t>
    </r>
    <r>
      <rPr>
        <vertAlign val="superscript"/>
        <sz val="12"/>
        <color theme="1"/>
        <rFont val="Times New Roman"/>
        <family val="1"/>
      </rPr>
      <t>2</t>
    </r>
  </si>
  <si>
    <t>Annexe 9 – Etat des permis octroyés, renouvelés et retirés en 2021</t>
  </si>
  <si>
    <t>Etat des Octrois :</t>
  </si>
  <si>
    <t>société</t>
  </si>
  <si>
    <t>Numéro Secrétariat Général du Gouvernement</t>
  </si>
  <si>
    <t>SOCIETE DJOMA MINING SA</t>
  </si>
  <si>
    <r>
      <t>5.9870 km</t>
    </r>
    <r>
      <rPr>
        <vertAlign val="superscript"/>
        <sz val="8"/>
        <color theme="1"/>
        <rFont val="Times New Roman"/>
        <family val="1"/>
      </rPr>
      <t>2</t>
    </r>
  </si>
  <si>
    <r>
      <t>15.8443 km</t>
    </r>
    <r>
      <rPr>
        <vertAlign val="superscript"/>
        <sz val="8"/>
        <color theme="1"/>
        <rFont val="Times New Roman"/>
        <family val="1"/>
      </rPr>
      <t>2</t>
    </r>
  </si>
  <si>
    <r>
      <t>490.1962 km</t>
    </r>
    <r>
      <rPr>
        <vertAlign val="superscript"/>
        <sz val="8"/>
        <color theme="1"/>
        <rFont val="Times New Roman"/>
        <family val="1"/>
      </rPr>
      <t>2</t>
    </r>
  </si>
  <si>
    <r>
      <t>20.2691 km</t>
    </r>
    <r>
      <rPr>
        <vertAlign val="superscript"/>
        <sz val="8"/>
        <color theme="1"/>
        <rFont val="Times New Roman"/>
        <family val="1"/>
      </rPr>
      <t>2</t>
    </r>
  </si>
  <si>
    <r>
      <t>99.4947 km</t>
    </r>
    <r>
      <rPr>
        <vertAlign val="superscript"/>
        <sz val="8"/>
        <color theme="1"/>
        <rFont val="Times New Roman"/>
        <family val="1"/>
      </rPr>
      <t>2</t>
    </r>
  </si>
  <si>
    <r>
      <t>99.6725 km</t>
    </r>
    <r>
      <rPr>
        <vertAlign val="superscript"/>
        <sz val="8"/>
        <color theme="1"/>
        <rFont val="Times New Roman"/>
        <family val="1"/>
      </rPr>
      <t>2</t>
    </r>
  </si>
  <si>
    <r>
      <t>99.4130 km</t>
    </r>
    <r>
      <rPr>
        <vertAlign val="superscript"/>
        <sz val="8"/>
        <color theme="1"/>
        <rFont val="Times New Roman"/>
        <family val="1"/>
      </rPr>
      <t>2</t>
    </r>
  </si>
  <si>
    <r>
      <t>219.7039 km</t>
    </r>
    <r>
      <rPr>
        <vertAlign val="superscript"/>
        <sz val="8"/>
        <color theme="1"/>
        <rFont val="Times New Roman"/>
        <family val="1"/>
      </rPr>
      <t>2</t>
    </r>
  </si>
  <si>
    <r>
      <t>99.4297 km</t>
    </r>
    <r>
      <rPr>
        <vertAlign val="superscript"/>
        <sz val="8"/>
        <color theme="1"/>
        <rFont val="Times New Roman"/>
        <family val="1"/>
      </rPr>
      <t>2</t>
    </r>
  </si>
  <si>
    <r>
      <t>31.7721 km</t>
    </r>
    <r>
      <rPr>
        <vertAlign val="superscript"/>
        <sz val="8"/>
        <color theme="1"/>
        <rFont val="Times New Roman"/>
        <family val="1"/>
      </rPr>
      <t>2</t>
    </r>
  </si>
  <si>
    <r>
      <t>38.2116 km</t>
    </r>
    <r>
      <rPr>
        <vertAlign val="superscript"/>
        <sz val="8"/>
        <color theme="1"/>
        <rFont val="Times New Roman"/>
        <family val="1"/>
      </rPr>
      <t>2</t>
    </r>
  </si>
  <si>
    <r>
      <t>14.7346 km</t>
    </r>
    <r>
      <rPr>
        <vertAlign val="superscript"/>
        <sz val="8"/>
        <color theme="1"/>
        <rFont val="Times New Roman"/>
        <family val="1"/>
      </rPr>
      <t>2</t>
    </r>
  </si>
  <si>
    <r>
      <t>2.4354 km</t>
    </r>
    <r>
      <rPr>
        <vertAlign val="superscript"/>
        <sz val="8"/>
        <color theme="1"/>
        <rFont val="Times New Roman"/>
        <family val="1"/>
      </rPr>
      <t>2</t>
    </r>
  </si>
  <si>
    <r>
      <t>359.8361 km</t>
    </r>
    <r>
      <rPr>
        <vertAlign val="superscript"/>
        <sz val="8"/>
        <color theme="1"/>
        <rFont val="Times New Roman"/>
        <family val="1"/>
      </rPr>
      <t>2</t>
    </r>
  </si>
  <si>
    <r>
      <t>97.0129 km</t>
    </r>
    <r>
      <rPr>
        <vertAlign val="superscript"/>
        <sz val="8"/>
        <color theme="1"/>
        <rFont val="Times New Roman"/>
        <family val="1"/>
      </rPr>
      <t>2</t>
    </r>
  </si>
  <si>
    <r>
      <t>60.2333 km</t>
    </r>
    <r>
      <rPr>
        <vertAlign val="superscript"/>
        <sz val="8"/>
        <color theme="1"/>
        <rFont val="Times New Roman"/>
        <family val="1"/>
      </rPr>
      <t>2</t>
    </r>
  </si>
  <si>
    <r>
      <t>50.7752 km</t>
    </r>
    <r>
      <rPr>
        <vertAlign val="superscript"/>
        <sz val="8"/>
        <color theme="1"/>
        <rFont val="Times New Roman"/>
        <family val="1"/>
      </rPr>
      <t>2</t>
    </r>
  </si>
  <si>
    <r>
      <t>47.3822 km</t>
    </r>
    <r>
      <rPr>
        <vertAlign val="superscript"/>
        <sz val="8"/>
        <color theme="1"/>
        <rFont val="Times New Roman"/>
        <family val="1"/>
      </rPr>
      <t>2</t>
    </r>
  </si>
  <si>
    <r>
      <t>13.4285 km</t>
    </r>
    <r>
      <rPr>
        <vertAlign val="superscript"/>
        <sz val="8"/>
        <color theme="1"/>
        <rFont val="Times New Roman"/>
        <family val="1"/>
      </rPr>
      <t>2</t>
    </r>
  </si>
  <si>
    <r>
      <t>10.7022 km</t>
    </r>
    <r>
      <rPr>
        <vertAlign val="superscript"/>
        <sz val="8"/>
        <color theme="1"/>
        <rFont val="Times New Roman"/>
        <family val="1"/>
      </rPr>
      <t>2</t>
    </r>
  </si>
  <si>
    <r>
      <t>67.9710 km</t>
    </r>
    <r>
      <rPr>
        <vertAlign val="superscript"/>
        <sz val="8"/>
        <color theme="1"/>
        <rFont val="Times New Roman"/>
        <family val="1"/>
      </rPr>
      <t>2</t>
    </r>
  </si>
  <si>
    <r>
      <t>53.2399 km</t>
    </r>
    <r>
      <rPr>
        <vertAlign val="superscript"/>
        <sz val="8"/>
        <color theme="1"/>
        <rFont val="Times New Roman"/>
        <family val="1"/>
      </rPr>
      <t>2</t>
    </r>
  </si>
  <si>
    <r>
      <t>36.1824 km</t>
    </r>
    <r>
      <rPr>
        <vertAlign val="superscript"/>
        <sz val="8"/>
        <color theme="1"/>
        <rFont val="Times New Roman"/>
        <family val="1"/>
      </rPr>
      <t>2</t>
    </r>
  </si>
  <si>
    <r>
      <t>38.2284 km</t>
    </r>
    <r>
      <rPr>
        <vertAlign val="superscript"/>
        <sz val="8"/>
        <color theme="1"/>
        <rFont val="Times New Roman"/>
        <family val="1"/>
      </rPr>
      <t>2</t>
    </r>
  </si>
  <si>
    <r>
      <t>57.4190 km</t>
    </r>
    <r>
      <rPr>
        <vertAlign val="superscript"/>
        <sz val="8"/>
        <color theme="1"/>
        <rFont val="Times New Roman"/>
        <family val="1"/>
      </rPr>
      <t>2</t>
    </r>
  </si>
  <si>
    <r>
      <t>89.1732 km</t>
    </r>
    <r>
      <rPr>
        <vertAlign val="superscript"/>
        <sz val="8"/>
        <color theme="1"/>
        <rFont val="Times New Roman"/>
        <family val="1"/>
      </rPr>
      <t>2</t>
    </r>
  </si>
  <si>
    <r>
      <t>34.9543 km</t>
    </r>
    <r>
      <rPr>
        <vertAlign val="superscript"/>
        <sz val="8"/>
        <color theme="1"/>
        <rFont val="Times New Roman"/>
        <family val="1"/>
      </rPr>
      <t>2</t>
    </r>
  </si>
  <si>
    <r>
      <t>46.9090 km</t>
    </r>
    <r>
      <rPr>
        <vertAlign val="superscript"/>
        <sz val="8"/>
        <color theme="1"/>
        <rFont val="Times New Roman"/>
        <family val="1"/>
      </rPr>
      <t>2</t>
    </r>
  </si>
  <si>
    <r>
      <t>86.1303 km</t>
    </r>
    <r>
      <rPr>
        <vertAlign val="superscript"/>
        <sz val="8"/>
        <color theme="1"/>
        <rFont val="Times New Roman"/>
        <family val="1"/>
      </rPr>
      <t>2</t>
    </r>
  </si>
  <si>
    <r>
      <t>60.3327 km</t>
    </r>
    <r>
      <rPr>
        <vertAlign val="superscript"/>
        <sz val="8"/>
        <color theme="1"/>
        <rFont val="Times New Roman"/>
        <family val="1"/>
      </rPr>
      <t>2</t>
    </r>
  </si>
  <si>
    <r>
      <t>15.9978 km</t>
    </r>
    <r>
      <rPr>
        <vertAlign val="superscript"/>
        <sz val="8"/>
        <color theme="1"/>
        <rFont val="Times New Roman"/>
        <family val="1"/>
      </rPr>
      <t>2</t>
    </r>
  </si>
  <si>
    <r>
      <t>14.5155 km</t>
    </r>
    <r>
      <rPr>
        <vertAlign val="superscript"/>
        <sz val="8"/>
        <color theme="1"/>
        <rFont val="Times New Roman"/>
        <family val="1"/>
      </rPr>
      <t>2</t>
    </r>
  </si>
  <si>
    <r>
      <t>15.9977 km</t>
    </r>
    <r>
      <rPr>
        <vertAlign val="superscript"/>
        <sz val="8"/>
        <color theme="1"/>
        <rFont val="Times New Roman"/>
        <family val="1"/>
      </rPr>
      <t>2</t>
    </r>
  </si>
  <si>
    <r>
      <t>15.9996 km</t>
    </r>
    <r>
      <rPr>
        <vertAlign val="superscript"/>
        <sz val="8"/>
        <color theme="1"/>
        <rFont val="Times New Roman"/>
        <family val="1"/>
      </rPr>
      <t>2</t>
    </r>
  </si>
  <si>
    <r>
      <t>26.2268 km</t>
    </r>
    <r>
      <rPr>
        <vertAlign val="superscript"/>
        <sz val="8"/>
        <rFont val="Times New Roman"/>
        <family val="1"/>
      </rPr>
      <t>2</t>
    </r>
  </si>
  <si>
    <r>
      <t>98.7164 km</t>
    </r>
    <r>
      <rPr>
        <vertAlign val="superscript"/>
        <sz val="8"/>
        <color theme="1"/>
        <rFont val="Times New Roman"/>
        <family val="1"/>
      </rPr>
      <t>2</t>
    </r>
  </si>
  <si>
    <r>
      <t>76.0870 km</t>
    </r>
    <r>
      <rPr>
        <vertAlign val="superscript"/>
        <sz val="8"/>
        <color theme="1"/>
        <rFont val="Times New Roman"/>
        <family val="1"/>
      </rPr>
      <t>2</t>
    </r>
  </si>
  <si>
    <r>
      <t>63.9532 km</t>
    </r>
    <r>
      <rPr>
        <vertAlign val="superscript"/>
        <sz val="8"/>
        <color theme="1"/>
        <rFont val="Times New Roman"/>
        <family val="1"/>
      </rPr>
      <t>2</t>
    </r>
  </si>
  <si>
    <r>
      <t>95.5044 km</t>
    </r>
    <r>
      <rPr>
        <vertAlign val="superscript"/>
        <sz val="8"/>
        <color theme="1"/>
        <rFont val="Times New Roman"/>
        <family val="1"/>
      </rPr>
      <t>2</t>
    </r>
  </si>
  <si>
    <r>
      <t>37.7035 km</t>
    </r>
    <r>
      <rPr>
        <vertAlign val="superscript"/>
        <sz val="8"/>
        <color theme="1"/>
        <rFont val="Times New Roman"/>
        <family val="1"/>
      </rPr>
      <t>2</t>
    </r>
  </si>
  <si>
    <r>
      <t>68.8566 km</t>
    </r>
    <r>
      <rPr>
        <vertAlign val="superscript"/>
        <sz val="8"/>
        <color theme="1"/>
        <rFont val="Times New Roman"/>
        <family val="1"/>
      </rPr>
      <t>2</t>
    </r>
  </si>
  <si>
    <r>
      <t>90.5399 km</t>
    </r>
    <r>
      <rPr>
        <vertAlign val="superscript"/>
        <sz val="8"/>
        <color theme="1"/>
        <rFont val="Times New Roman"/>
        <family val="1"/>
      </rPr>
      <t>2</t>
    </r>
  </si>
  <si>
    <r>
      <t>92.6855 km</t>
    </r>
    <r>
      <rPr>
        <vertAlign val="superscript"/>
        <sz val="8"/>
        <color theme="1"/>
        <rFont val="Times New Roman"/>
        <family val="1"/>
      </rPr>
      <t>2</t>
    </r>
  </si>
  <si>
    <r>
      <t>72.0904 km</t>
    </r>
    <r>
      <rPr>
        <vertAlign val="superscript"/>
        <sz val="8"/>
        <color theme="1"/>
        <rFont val="Times New Roman"/>
        <family val="1"/>
      </rPr>
      <t>2</t>
    </r>
  </si>
  <si>
    <r>
      <t>99.8459 km</t>
    </r>
    <r>
      <rPr>
        <vertAlign val="superscript"/>
        <sz val="8"/>
        <color theme="1"/>
        <rFont val="Times New Roman"/>
        <family val="1"/>
      </rPr>
      <t>2</t>
    </r>
  </si>
  <si>
    <r>
      <t>84.3254 km</t>
    </r>
    <r>
      <rPr>
        <vertAlign val="superscript"/>
        <sz val="8"/>
        <color theme="1"/>
        <rFont val="Times New Roman"/>
        <family val="1"/>
      </rPr>
      <t>2</t>
    </r>
  </si>
  <si>
    <r>
      <t>261.1311 km</t>
    </r>
    <r>
      <rPr>
        <vertAlign val="superscript"/>
        <sz val="8"/>
        <color theme="1"/>
        <rFont val="Times New Roman"/>
        <family val="1"/>
      </rPr>
      <t>2</t>
    </r>
  </si>
  <si>
    <r>
      <t>78.4934 km</t>
    </r>
    <r>
      <rPr>
        <vertAlign val="superscript"/>
        <sz val="8"/>
        <color theme="1"/>
        <rFont val="Times New Roman"/>
        <family val="1"/>
      </rPr>
      <t>2</t>
    </r>
  </si>
  <si>
    <r>
      <t>86.8090 km</t>
    </r>
    <r>
      <rPr>
        <vertAlign val="superscript"/>
        <sz val="8"/>
        <color theme="1"/>
        <rFont val="Times New Roman"/>
        <family val="1"/>
      </rPr>
      <t>2</t>
    </r>
  </si>
  <si>
    <r>
      <t>95.8000 km</t>
    </r>
    <r>
      <rPr>
        <vertAlign val="superscript"/>
        <sz val="8"/>
        <color theme="1"/>
        <rFont val="Times New Roman"/>
        <family val="1"/>
      </rPr>
      <t>2</t>
    </r>
  </si>
  <si>
    <r>
      <t>29.4959 km</t>
    </r>
    <r>
      <rPr>
        <vertAlign val="superscript"/>
        <sz val="8"/>
        <color theme="1"/>
        <rFont val="Times New Roman"/>
        <family val="1"/>
      </rPr>
      <t>2</t>
    </r>
  </si>
  <si>
    <r>
      <t>289.9189 km</t>
    </r>
    <r>
      <rPr>
        <vertAlign val="superscript"/>
        <sz val="8"/>
        <color theme="1"/>
        <rFont val="Times New Roman"/>
        <family val="1"/>
      </rPr>
      <t>2</t>
    </r>
  </si>
  <si>
    <r>
      <t>99.7942 km</t>
    </r>
    <r>
      <rPr>
        <vertAlign val="superscript"/>
        <sz val="8"/>
        <color theme="1"/>
        <rFont val="Times New Roman"/>
        <family val="1"/>
      </rPr>
      <t>2</t>
    </r>
  </si>
  <si>
    <r>
      <t>38.3073 km</t>
    </r>
    <r>
      <rPr>
        <vertAlign val="superscript"/>
        <sz val="8"/>
        <color theme="1"/>
        <rFont val="Times New Roman"/>
        <family val="1"/>
      </rPr>
      <t>2</t>
    </r>
  </si>
  <si>
    <r>
      <t>309.4424 km</t>
    </r>
    <r>
      <rPr>
        <vertAlign val="superscript"/>
        <sz val="8"/>
        <color theme="1"/>
        <rFont val="Times New Roman"/>
        <family val="1"/>
      </rPr>
      <t>2</t>
    </r>
  </si>
  <si>
    <r>
      <t>81.9563 km</t>
    </r>
    <r>
      <rPr>
        <vertAlign val="superscript"/>
        <sz val="8"/>
        <color theme="1"/>
        <rFont val="Times New Roman"/>
        <family val="1"/>
      </rPr>
      <t>2</t>
    </r>
  </si>
  <si>
    <r>
      <t>74.8175 km</t>
    </r>
    <r>
      <rPr>
        <vertAlign val="superscript"/>
        <sz val="8"/>
        <color theme="1"/>
        <rFont val="Times New Roman"/>
        <family val="1"/>
      </rPr>
      <t>2</t>
    </r>
  </si>
  <si>
    <r>
      <t>92.9833 km</t>
    </r>
    <r>
      <rPr>
        <vertAlign val="superscript"/>
        <sz val="8"/>
        <color theme="1"/>
        <rFont val="Times New Roman"/>
        <family val="1"/>
      </rPr>
      <t>2</t>
    </r>
  </si>
  <si>
    <t>23116</t>
  </si>
  <si>
    <t>DIRECTION NATIONALE DES MINES</t>
  </si>
  <si>
    <t>A/2021/1340/MMG/SGG</t>
  </si>
  <si>
    <t>ZA</t>
  </si>
  <si>
    <t>2239.2388 Ha</t>
  </si>
  <si>
    <t>Koumana, Kouroussa-centre</t>
  </si>
  <si>
    <r>
      <t>98.5553 km</t>
    </r>
    <r>
      <rPr>
        <vertAlign val="superscript"/>
        <sz val="8"/>
        <color theme="1"/>
        <rFont val="Times New Roman"/>
        <family val="1"/>
      </rPr>
      <t>2</t>
    </r>
  </si>
  <si>
    <r>
      <t>99.8487 km</t>
    </r>
    <r>
      <rPr>
        <vertAlign val="superscript"/>
        <sz val="8"/>
        <color theme="1"/>
        <rFont val="Times New Roman"/>
        <family val="1"/>
      </rPr>
      <t>2</t>
    </r>
  </si>
  <si>
    <r>
      <t>99.8883 km</t>
    </r>
    <r>
      <rPr>
        <vertAlign val="superscript"/>
        <sz val="8"/>
        <color theme="1"/>
        <rFont val="Times New Roman"/>
        <family val="1"/>
      </rPr>
      <t>2</t>
    </r>
  </si>
  <si>
    <r>
      <t>90.3408 km</t>
    </r>
    <r>
      <rPr>
        <vertAlign val="superscript"/>
        <sz val="8"/>
        <color theme="1"/>
        <rFont val="Times New Roman"/>
        <family val="1"/>
      </rPr>
      <t>2</t>
    </r>
  </si>
  <si>
    <t>PR-I (Diamant)</t>
  </si>
  <si>
    <r>
      <t>56.7033 km</t>
    </r>
    <r>
      <rPr>
        <vertAlign val="superscript"/>
        <sz val="8"/>
        <color theme="1"/>
        <rFont val="Times New Roman"/>
        <family val="1"/>
      </rPr>
      <t>2</t>
    </r>
  </si>
  <si>
    <r>
      <t>94.5799 km</t>
    </r>
    <r>
      <rPr>
        <vertAlign val="superscript"/>
        <sz val="8"/>
        <color theme="1"/>
        <rFont val="Times New Roman"/>
        <family val="1"/>
      </rPr>
      <t>2</t>
    </r>
  </si>
  <si>
    <r>
      <t>15.0667 km</t>
    </r>
    <r>
      <rPr>
        <vertAlign val="superscript"/>
        <sz val="8"/>
        <color theme="1"/>
        <rFont val="Times New Roman"/>
        <family val="1"/>
      </rPr>
      <t>2</t>
    </r>
  </si>
  <si>
    <r>
      <t>44.7782 km</t>
    </r>
    <r>
      <rPr>
        <vertAlign val="superscript"/>
        <sz val="8"/>
        <color theme="1"/>
        <rFont val="Times New Roman"/>
        <family val="1"/>
      </rPr>
      <t>2</t>
    </r>
  </si>
  <si>
    <r>
      <t>41.2362 km</t>
    </r>
    <r>
      <rPr>
        <vertAlign val="superscript"/>
        <sz val="8"/>
        <color theme="1"/>
        <rFont val="Times New Roman"/>
        <family val="1"/>
      </rPr>
      <t>2</t>
    </r>
  </si>
  <si>
    <r>
      <t>48.4678 km</t>
    </r>
    <r>
      <rPr>
        <vertAlign val="superscript"/>
        <sz val="8"/>
        <color theme="1"/>
        <rFont val="Times New Roman"/>
        <family val="1"/>
      </rPr>
      <t>2</t>
    </r>
  </si>
  <si>
    <r>
      <t>60.6796 km</t>
    </r>
    <r>
      <rPr>
        <vertAlign val="superscript"/>
        <sz val="8"/>
        <color theme="1"/>
        <rFont val="Times New Roman"/>
        <family val="1"/>
      </rPr>
      <t>2</t>
    </r>
  </si>
  <si>
    <r>
      <t>65.6297 km</t>
    </r>
    <r>
      <rPr>
        <vertAlign val="superscript"/>
        <sz val="8"/>
        <color theme="1"/>
        <rFont val="Times New Roman"/>
        <family val="1"/>
      </rPr>
      <t>2</t>
    </r>
  </si>
  <si>
    <r>
      <t>96.3812 km</t>
    </r>
    <r>
      <rPr>
        <vertAlign val="superscript"/>
        <sz val="8"/>
        <color theme="1"/>
        <rFont val="Times New Roman"/>
        <family val="1"/>
      </rPr>
      <t>2</t>
    </r>
  </si>
  <si>
    <r>
      <t>99.9295 km</t>
    </r>
    <r>
      <rPr>
        <vertAlign val="superscript"/>
        <sz val="8"/>
        <color theme="1"/>
        <rFont val="Times New Roman"/>
        <family val="1"/>
      </rPr>
      <t>2</t>
    </r>
  </si>
  <si>
    <r>
      <t>94.4361 km</t>
    </r>
    <r>
      <rPr>
        <vertAlign val="superscript"/>
        <sz val="8"/>
        <color theme="1"/>
        <rFont val="Times New Roman"/>
        <family val="1"/>
      </rPr>
      <t>2</t>
    </r>
  </si>
  <si>
    <r>
      <t>498.9924 km</t>
    </r>
    <r>
      <rPr>
        <vertAlign val="superscript"/>
        <sz val="8"/>
        <color theme="1"/>
        <rFont val="Times New Roman"/>
        <family val="1"/>
      </rPr>
      <t>2</t>
    </r>
  </si>
  <si>
    <t>23153</t>
  </si>
  <si>
    <t>MINISTERE DES MINES ET DE LA GEOLOGIE</t>
  </si>
  <si>
    <t>A/2021/1646/MMG/SGG</t>
  </si>
  <si>
    <t>valide</t>
  </si>
  <si>
    <t>4.1630 km²</t>
  </si>
  <si>
    <t>Doko</t>
  </si>
  <si>
    <r>
      <t>60.2097 km</t>
    </r>
    <r>
      <rPr>
        <vertAlign val="superscript"/>
        <sz val="8"/>
        <color theme="1"/>
        <rFont val="Times New Roman"/>
        <family val="1"/>
      </rPr>
      <t>2</t>
    </r>
  </si>
  <si>
    <r>
      <t>480.6347 km</t>
    </r>
    <r>
      <rPr>
        <vertAlign val="superscript"/>
        <sz val="8"/>
        <color theme="1"/>
        <rFont val="Times New Roman"/>
        <family val="1"/>
      </rPr>
      <t>2</t>
    </r>
  </si>
  <si>
    <r>
      <t>278.7964 km</t>
    </r>
    <r>
      <rPr>
        <vertAlign val="superscript"/>
        <sz val="8"/>
        <color theme="1"/>
        <rFont val="Times New Roman"/>
        <family val="1"/>
      </rPr>
      <t>2</t>
    </r>
  </si>
  <si>
    <r>
      <t>29.5972 km</t>
    </r>
    <r>
      <rPr>
        <vertAlign val="superscript"/>
        <sz val="8"/>
        <color theme="1"/>
        <rFont val="Times New Roman"/>
        <family val="1"/>
      </rPr>
      <t>2</t>
    </r>
  </si>
  <si>
    <r>
      <t>74.5003 km</t>
    </r>
    <r>
      <rPr>
        <vertAlign val="superscript"/>
        <sz val="8"/>
        <color theme="1"/>
        <rFont val="Times New Roman"/>
        <family val="1"/>
      </rPr>
      <t>2</t>
    </r>
  </si>
  <si>
    <r>
      <t>63.6768 km</t>
    </r>
    <r>
      <rPr>
        <vertAlign val="superscript"/>
        <sz val="8"/>
        <color theme="1"/>
        <rFont val="Times New Roman"/>
        <family val="1"/>
      </rPr>
      <t>2</t>
    </r>
  </si>
  <si>
    <r>
      <t>22.9820 km</t>
    </r>
    <r>
      <rPr>
        <vertAlign val="superscript"/>
        <sz val="8"/>
        <color theme="1"/>
        <rFont val="Times New Roman"/>
        <family val="1"/>
      </rPr>
      <t>2</t>
    </r>
  </si>
  <si>
    <r>
      <t>90.1145 km</t>
    </r>
    <r>
      <rPr>
        <vertAlign val="superscript"/>
        <sz val="8"/>
        <color theme="1"/>
        <rFont val="Times New Roman"/>
        <family val="1"/>
      </rPr>
      <t>2</t>
    </r>
  </si>
  <si>
    <r>
      <t>99.8343 km</t>
    </r>
    <r>
      <rPr>
        <vertAlign val="superscript"/>
        <sz val="8"/>
        <color theme="1"/>
        <rFont val="Times New Roman"/>
        <family val="1"/>
      </rPr>
      <t>2</t>
    </r>
  </si>
  <si>
    <r>
      <t>27.1036 km</t>
    </r>
    <r>
      <rPr>
        <vertAlign val="superscript"/>
        <sz val="8"/>
        <color theme="1"/>
        <rFont val="Times New Roman"/>
        <family val="1"/>
      </rPr>
      <t>2</t>
    </r>
  </si>
  <si>
    <r>
      <t>99.4032 km</t>
    </r>
    <r>
      <rPr>
        <vertAlign val="superscript"/>
        <sz val="8"/>
        <color theme="1"/>
        <rFont val="Times New Roman"/>
        <family val="1"/>
      </rPr>
      <t>2</t>
    </r>
  </si>
  <si>
    <t>A/2021/988/MMG/SGG</t>
  </si>
  <si>
    <r>
      <t>522.3191 km</t>
    </r>
    <r>
      <rPr>
        <vertAlign val="superscript"/>
        <sz val="8"/>
        <color theme="1"/>
        <rFont val="Times New Roman"/>
        <family val="1"/>
      </rPr>
      <t>2</t>
    </r>
  </si>
  <si>
    <r>
      <t>98.0946 km</t>
    </r>
    <r>
      <rPr>
        <vertAlign val="superscript"/>
        <sz val="8"/>
        <color theme="1"/>
        <rFont val="Times New Roman"/>
        <family val="1"/>
      </rPr>
      <t>2</t>
    </r>
  </si>
  <si>
    <r>
      <t>94.9306 km</t>
    </r>
    <r>
      <rPr>
        <vertAlign val="superscript"/>
        <sz val="8"/>
        <color theme="1"/>
        <rFont val="Times New Roman"/>
        <family val="1"/>
      </rPr>
      <t>2</t>
    </r>
  </si>
  <si>
    <r>
      <t>95.1077 km</t>
    </r>
    <r>
      <rPr>
        <vertAlign val="superscript"/>
        <sz val="8"/>
        <color theme="1"/>
        <rFont val="Times New Roman"/>
        <family val="1"/>
      </rPr>
      <t>2</t>
    </r>
  </si>
  <si>
    <r>
      <t>98.9800 km</t>
    </r>
    <r>
      <rPr>
        <vertAlign val="superscript"/>
        <sz val="8"/>
        <color theme="1"/>
        <rFont val="Times New Roman"/>
        <family val="1"/>
      </rPr>
      <t>2</t>
    </r>
  </si>
  <si>
    <r>
      <t>99.0839 km</t>
    </r>
    <r>
      <rPr>
        <vertAlign val="superscript"/>
        <sz val="8"/>
        <color theme="1"/>
        <rFont val="Times New Roman"/>
        <family val="1"/>
      </rPr>
      <t>2</t>
    </r>
  </si>
  <si>
    <r>
      <t>98.8145 km</t>
    </r>
    <r>
      <rPr>
        <vertAlign val="superscript"/>
        <sz val="8"/>
        <color theme="1"/>
        <rFont val="Times New Roman"/>
        <family val="1"/>
      </rPr>
      <t>2</t>
    </r>
  </si>
  <si>
    <r>
      <t>41.5332 km</t>
    </r>
    <r>
      <rPr>
        <vertAlign val="superscript"/>
        <sz val="8"/>
        <color theme="1"/>
        <rFont val="Times New Roman"/>
        <family val="1"/>
      </rPr>
      <t>2</t>
    </r>
  </si>
  <si>
    <r>
      <t>73.7116 km</t>
    </r>
    <r>
      <rPr>
        <vertAlign val="superscript"/>
        <sz val="8"/>
        <color theme="1"/>
        <rFont val="Times New Roman"/>
        <family val="1"/>
      </rPr>
      <t>2</t>
    </r>
  </si>
  <si>
    <r>
      <t>99.6344 km</t>
    </r>
    <r>
      <rPr>
        <vertAlign val="superscript"/>
        <sz val="8"/>
        <color theme="1"/>
        <rFont val="Times New Roman"/>
        <family val="1"/>
      </rPr>
      <t>2</t>
    </r>
  </si>
  <si>
    <r>
      <t>18.8414 km</t>
    </r>
    <r>
      <rPr>
        <vertAlign val="superscript"/>
        <sz val="8"/>
        <color theme="1"/>
        <rFont val="Times New Roman"/>
        <family val="1"/>
      </rPr>
      <t>2</t>
    </r>
  </si>
  <si>
    <t>23272</t>
  </si>
  <si>
    <t>OMS INTERNATIONAL</t>
  </si>
  <si>
    <t>AUT/2021/055/MMG/DNM</t>
  </si>
  <si>
    <t>76.9162 km²</t>
  </si>
  <si>
    <t>Koumban</t>
  </si>
  <si>
    <t>Etat des renouvellements :</t>
  </si>
  <si>
    <t>Sociétés</t>
  </si>
  <si>
    <t>N° Décrets/Arrêtés</t>
  </si>
  <si>
    <t>Statuts</t>
  </si>
  <si>
    <t xml:space="preserve">   Substances</t>
  </si>
  <si>
    <t>Préfecture</t>
  </si>
  <si>
    <t>Superficie</t>
  </si>
  <si>
    <t>Date signature</t>
  </si>
  <si>
    <t>Date de fin de validité</t>
  </si>
  <si>
    <t>ENTREPRISE DE CONSTRUCTION &amp; DE GESTION IMMOBILIERE JKD/MULTIPRESTATIONS SARL</t>
  </si>
  <si>
    <t>A/2021/022/MMG/SGG</t>
  </si>
  <si>
    <t>Renov</t>
  </si>
  <si>
    <t>C.Granit</t>
  </si>
  <si>
    <t>Dubréka</t>
  </si>
  <si>
    <t xml:space="preserve">4,1817 ha </t>
  </si>
  <si>
    <t>CISSE-HASSAWIE-SARL</t>
  </si>
  <si>
    <t>A/2021/023/MMG/SGG</t>
  </si>
  <si>
    <t>C.Dolérit</t>
  </si>
  <si>
    <t>Coyah</t>
  </si>
  <si>
    <t>1,8181 ha</t>
  </si>
  <si>
    <t>COOPERATION ECONOMIQUE&amp; TECHNIQUE DE CONSTRUCTION DU HUAIAN DE CHINE EN GUINEE-SCETHCG SA</t>
  </si>
  <si>
    <t>A/2021/024/MMG/SGG</t>
  </si>
  <si>
    <t>Boffa</t>
  </si>
  <si>
    <t>COOPERATION ECONOMIQUE &amp; TECHNIQUE DE CONSTRUCTION DU HUAIAN DE CHINE EN GUINEE-SCETHCG SA</t>
  </si>
  <si>
    <t>A/2021/025/MMG/SGG</t>
  </si>
  <si>
    <t>2,301 ha</t>
  </si>
  <si>
    <t>A/2021/026/MMG/SGG</t>
  </si>
  <si>
    <t>C.Granite</t>
  </si>
  <si>
    <t>3,6954 ha</t>
  </si>
  <si>
    <t>A/2021/027/MMG/SGG</t>
  </si>
  <si>
    <t>1,916 ha</t>
  </si>
  <si>
    <t>A/2021/028/MMG/SGG</t>
  </si>
  <si>
    <t>2,0621 ha</t>
  </si>
  <si>
    <t>SOCIETE MINIERE NAFADJI (SMN) SARL</t>
  </si>
  <si>
    <t>A/2021/029/MMG/SGG</t>
  </si>
  <si>
    <t>Mandiana</t>
  </si>
  <si>
    <t>42,5974  km2</t>
  </si>
  <si>
    <t>COMPAGNIE FRANCE GUINEE-SARLU</t>
  </si>
  <si>
    <t>A/2021/030/MMG/SGG</t>
  </si>
  <si>
    <t>72  km2</t>
  </si>
  <si>
    <t>R.R.M.S MINING LTD</t>
  </si>
  <si>
    <t>A/2021/037/MMG/SGG</t>
  </si>
  <si>
    <t>Siguiri</t>
  </si>
  <si>
    <t>49 km2</t>
  </si>
  <si>
    <t>DOLPHIN RESOURCESS SARL</t>
  </si>
  <si>
    <t>A/2021/061/MMG/SGG</t>
  </si>
  <si>
    <t>38,05  km2</t>
  </si>
  <si>
    <t>A/2021/139/MMG/SGG</t>
  </si>
  <si>
    <t>Kankan</t>
  </si>
  <si>
    <t>24,033  km2</t>
  </si>
  <si>
    <t>GUINEE MINING &amp; TP SARL</t>
  </si>
  <si>
    <t>A/2021/140/MMG/SGG</t>
  </si>
  <si>
    <t>38,7159  km2</t>
  </si>
  <si>
    <t>KEBO ENERGY SA</t>
  </si>
  <si>
    <t>A/2021/141/MMG/SGG</t>
  </si>
  <si>
    <t>47  km2</t>
  </si>
  <si>
    <t>TAMYANDOU - KISSI - MINES SARLU</t>
  </si>
  <si>
    <t>15,8443  km2</t>
  </si>
  <si>
    <t>A/2021/224/MMG/SGG</t>
  </si>
  <si>
    <t>Pita</t>
  </si>
  <si>
    <t>226,0334 km2</t>
  </si>
  <si>
    <t>A/2021/225/MMG/SGG</t>
  </si>
  <si>
    <t xml:space="preserve">Renov </t>
  </si>
  <si>
    <t>3,0597 ha</t>
  </si>
  <si>
    <t>A/2021/226/MMG/SGG</t>
  </si>
  <si>
    <t xml:space="preserve">	KEBO ENERGY SA</t>
  </si>
  <si>
    <t>A2021/141/MMG/SGG</t>
  </si>
  <si>
    <t xml:space="preserve">	47.0787 km²</t>
  </si>
  <si>
    <t>TAIBA GRANULATS SARL</t>
  </si>
  <si>
    <t>A/2021/329/MMG/SGG</t>
  </si>
  <si>
    <t>Dubreka</t>
  </si>
  <si>
    <t>5,5147 ha</t>
  </si>
  <si>
    <t>GUITER CARRIERE - SARL</t>
  </si>
  <si>
    <t>A/2021/420/MMG/SGG</t>
  </si>
  <si>
    <t>5,6594 ha</t>
  </si>
  <si>
    <t>A/2021/421/MMG/SGG</t>
  </si>
  <si>
    <t>5,9784 ha</t>
  </si>
  <si>
    <t>SOCIETE GUINEENNE DE BUSINESS EQUIPEMENT &amp; CONSTRUCTION - SARL</t>
  </si>
  <si>
    <t>A/2021/574/MMG/SGG</t>
  </si>
  <si>
    <t>4,3409 ha</t>
  </si>
  <si>
    <t>Sté DE GESTION DE CONSTRUCTION GUINEENNE SA</t>
  </si>
  <si>
    <t>A/2021/717/MMG/SGG</t>
  </si>
  <si>
    <t>2,987 ha</t>
  </si>
  <si>
    <t>Sté DE FORAGE ET DE TRAVAUX PUBLICS GUINEE - SA</t>
  </si>
  <si>
    <t>A/2021/718/MMG/SGG</t>
  </si>
  <si>
    <t>3,5587 ha</t>
  </si>
  <si>
    <t>DAVID DIAMANTS - SARL</t>
  </si>
  <si>
    <t>A/2021/719/MMG/SGG</t>
  </si>
  <si>
    <t>A/2021/720/MMG/SGG</t>
  </si>
  <si>
    <t>A/2021/721/MMG/SGG</t>
  </si>
  <si>
    <t>Kissidougou, Kérouané</t>
  </si>
  <si>
    <t>A/2021/773/MMG/SGG</t>
  </si>
  <si>
    <t>Kouroussa</t>
  </si>
  <si>
    <t>14,5889 ha</t>
  </si>
  <si>
    <t>DJOMA MINING SA</t>
  </si>
  <si>
    <t>A/2021/1059/MMG/SGG</t>
  </si>
  <si>
    <t xml:space="preserve">Or </t>
  </si>
  <si>
    <t>A/2021/1350/MMG/SGG</t>
  </si>
  <si>
    <t>CHINA ROAD AND BRIDGE CORPORATION GUINEE-SUCC</t>
  </si>
  <si>
    <t>A/2021/1631/MMG/SGG</t>
  </si>
  <si>
    <t>Kindia</t>
  </si>
  <si>
    <t>18,1933 ha</t>
  </si>
  <si>
    <t>A/2021/1632/MMG/SGG</t>
  </si>
  <si>
    <t>Mamou</t>
  </si>
  <si>
    <t>8,7405 ha</t>
  </si>
  <si>
    <t>A/2021/1633/MMG/SGG</t>
  </si>
  <si>
    <t>8,4823 ha</t>
  </si>
  <si>
    <t>A/2021/1634/MMG/SGG</t>
  </si>
  <si>
    <t>A/2021/1635/MMG/SGG</t>
  </si>
  <si>
    <t>PELFACO GUINEA LIMITED SA</t>
  </si>
  <si>
    <t>A/2021/1636/MMG/SGG</t>
  </si>
  <si>
    <t>SOCIETE MINIERE FREEDOM TRADING CO LIMITED-SARL</t>
  </si>
  <si>
    <t>A/2021/1637/MMG/SGG</t>
  </si>
  <si>
    <t>COOPERATION ECONOMIQUE &amp;TECHNIQUE DE CONSTRUCTION DU HUAYU DE CHINE EN GUINEE SARLU</t>
  </si>
  <si>
    <t>A/2021/1695/MMG/SGG</t>
  </si>
  <si>
    <t>7,0319 ha</t>
  </si>
  <si>
    <t>WASSOLON MINING SARL</t>
  </si>
  <si>
    <t>A/2021/2347/MMG/SGG</t>
  </si>
  <si>
    <t>43,7644  km2</t>
  </si>
  <si>
    <t>JAMIL EZZEDINE - SARL</t>
  </si>
  <si>
    <t>A/2021/2341/MMG/SGG</t>
  </si>
  <si>
    <t>5,01 ha</t>
  </si>
  <si>
    <t>A/2021/2342/MMG/SGG</t>
  </si>
  <si>
    <t xml:space="preserve">Bauxite </t>
  </si>
  <si>
    <t>Lelouma, Pita</t>
  </si>
  <si>
    <t>243,9211  km2</t>
  </si>
  <si>
    <t>AWAL GUINEE - SARL</t>
  </si>
  <si>
    <t>A/2021/2343/MMG/SGG</t>
  </si>
  <si>
    <t>2,2577 ha</t>
  </si>
  <si>
    <t>CAMEN RESOURCES - SARL</t>
  </si>
  <si>
    <t>A/2021/2344/MMG/SGG</t>
  </si>
  <si>
    <t>4,7456 ha</t>
  </si>
  <si>
    <t>AWASSOU INVESTMENTS SA</t>
  </si>
  <si>
    <t>A/2021/2345/MMG/SGG</t>
  </si>
  <si>
    <t>4,9605 ha</t>
  </si>
  <si>
    <t>ID GOLD MINING  SA</t>
  </si>
  <si>
    <t>A/2021/2346/MMG/SGG</t>
  </si>
  <si>
    <t>99,76  km2</t>
  </si>
  <si>
    <t>Etat des retraits:</t>
  </si>
  <si>
    <t>N° SGG</t>
  </si>
  <si>
    <t>NOMS DE SOCIETES</t>
  </si>
  <si>
    <t xml:space="preserve">Types </t>
  </si>
  <si>
    <t>Date de Retrait</t>
  </si>
  <si>
    <t>SOCIETE GOLDEN PEAK MINING SA</t>
  </si>
  <si>
    <t>Invalide</t>
  </si>
  <si>
    <t>Arrêté (Retrait)</t>
  </si>
  <si>
    <r>
      <t>11.4707 km</t>
    </r>
    <r>
      <rPr>
        <vertAlign val="superscript"/>
        <sz val="8"/>
        <color indexed="8"/>
        <rFont val="Times New Roman"/>
        <family val="1"/>
      </rPr>
      <t>2</t>
    </r>
  </si>
  <si>
    <r>
      <t>55.2047 km</t>
    </r>
    <r>
      <rPr>
        <vertAlign val="superscript"/>
        <sz val="8"/>
        <color indexed="8"/>
        <rFont val="Times New Roman"/>
        <family val="1"/>
      </rPr>
      <t>2</t>
    </r>
  </si>
  <si>
    <r>
      <t>11.6582 km</t>
    </r>
    <r>
      <rPr>
        <vertAlign val="superscript"/>
        <sz val="8"/>
        <color indexed="8"/>
        <rFont val="Times New Roman"/>
        <family val="1"/>
      </rPr>
      <t>2</t>
    </r>
  </si>
  <si>
    <r>
      <t>125.0608 km</t>
    </r>
    <r>
      <rPr>
        <vertAlign val="superscript"/>
        <sz val="8"/>
        <color indexed="8"/>
        <rFont val="Times New Roman"/>
        <family val="1"/>
      </rPr>
      <t>2</t>
    </r>
  </si>
  <si>
    <r>
      <t>35.4168 km</t>
    </r>
    <r>
      <rPr>
        <vertAlign val="superscript"/>
        <sz val="8"/>
        <color indexed="8"/>
        <rFont val="Times New Roman"/>
        <family val="1"/>
      </rPr>
      <t>2</t>
    </r>
  </si>
  <si>
    <r>
      <t>86.3143 km</t>
    </r>
    <r>
      <rPr>
        <vertAlign val="superscript"/>
        <sz val="8"/>
        <color indexed="8"/>
        <rFont val="Times New Roman"/>
        <family val="1"/>
      </rPr>
      <t>2</t>
    </r>
  </si>
  <si>
    <t>GOLDEN VALLEY MINING SA.</t>
  </si>
  <si>
    <r>
      <t>18.0503 km</t>
    </r>
    <r>
      <rPr>
        <vertAlign val="superscript"/>
        <sz val="8"/>
        <color indexed="8"/>
        <rFont val="Times New Roman"/>
        <family val="1"/>
      </rPr>
      <t>2</t>
    </r>
  </si>
  <si>
    <r>
      <t>71.0782 km</t>
    </r>
    <r>
      <rPr>
        <vertAlign val="superscript"/>
        <sz val="8"/>
        <color indexed="8"/>
        <rFont val="Times New Roman"/>
        <family val="1"/>
      </rPr>
      <t>2</t>
    </r>
  </si>
  <si>
    <t>Sté NEW JAPAN MINING COMPAGNY SARL</t>
  </si>
  <si>
    <r>
      <t>75.9915 km</t>
    </r>
    <r>
      <rPr>
        <vertAlign val="superscript"/>
        <sz val="8"/>
        <color indexed="8"/>
        <rFont val="Times New Roman"/>
        <family val="1"/>
      </rPr>
      <t>2</t>
    </r>
  </si>
  <si>
    <r>
      <t>50.5677 km</t>
    </r>
    <r>
      <rPr>
        <vertAlign val="superscript"/>
        <sz val="8"/>
        <color indexed="8"/>
        <rFont val="Times New Roman"/>
        <family val="1"/>
      </rPr>
      <t>2</t>
    </r>
  </si>
  <si>
    <r>
      <t>292.1153 km</t>
    </r>
    <r>
      <rPr>
        <vertAlign val="superscript"/>
        <sz val="8"/>
        <color indexed="8"/>
        <rFont val="Times New Roman"/>
        <family val="1"/>
      </rPr>
      <t>2</t>
    </r>
  </si>
  <si>
    <t>A2020/2076/MMG/SGG</t>
  </si>
  <si>
    <t>SOCIETE CORE INTERNATIONAL MINING SARL</t>
  </si>
  <si>
    <r>
      <t>17.1791 km</t>
    </r>
    <r>
      <rPr>
        <vertAlign val="superscript"/>
        <sz val="8"/>
        <color indexed="8"/>
        <rFont val="Times New Roman"/>
        <family val="1"/>
      </rPr>
      <t>2</t>
    </r>
  </si>
  <si>
    <t>SOCIETE GUIMAB SERVICE SARL</t>
  </si>
  <si>
    <r>
      <t>14.1872 km</t>
    </r>
    <r>
      <rPr>
        <vertAlign val="superscript"/>
        <sz val="8"/>
        <color indexed="8"/>
        <rFont val="Times New Roman"/>
        <family val="1"/>
      </rPr>
      <t>2</t>
    </r>
  </si>
  <si>
    <r>
      <t>38.8931 km</t>
    </r>
    <r>
      <rPr>
        <vertAlign val="superscript"/>
        <sz val="8"/>
        <color indexed="8"/>
        <rFont val="Times New Roman"/>
        <family val="1"/>
      </rPr>
      <t>2</t>
    </r>
  </si>
  <si>
    <r>
      <t>90.5657 km</t>
    </r>
    <r>
      <rPr>
        <vertAlign val="superscript"/>
        <sz val="8"/>
        <color indexed="8"/>
        <rFont val="Times New Roman"/>
        <family val="1"/>
      </rPr>
      <t>2</t>
    </r>
  </si>
  <si>
    <t>KGM</t>
  </si>
  <si>
    <r>
      <t>0.0714 km</t>
    </r>
    <r>
      <rPr>
        <vertAlign val="superscript"/>
        <sz val="8"/>
        <color indexed="8"/>
        <rFont val="Times New Roman"/>
        <family val="1"/>
      </rPr>
      <t>2</t>
    </r>
  </si>
  <si>
    <t>GCRBCC</t>
  </si>
  <si>
    <r>
      <t>0.0000 km</t>
    </r>
    <r>
      <rPr>
        <vertAlign val="superscript"/>
        <sz val="8"/>
        <color indexed="8"/>
        <rFont val="Times New Roman"/>
        <family val="1"/>
      </rPr>
      <t>2</t>
    </r>
  </si>
  <si>
    <t>KEBO TECNOVIA</t>
  </si>
  <si>
    <t>36.7824 Ha</t>
  </si>
  <si>
    <t>FRIGUIA SA</t>
  </si>
  <si>
    <t>8.2268 Ha</t>
  </si>
  <si>
    <t>SOCIETE RUNJIN SARLU (100%)</t>
  </si>
  <si>
    <r>
      <t>43.0000 km</t>
    </r>
    <r>
      <rPr>
        <vertAlign val="superscript"/>
        <sz val="8"/>
        <color indexed="8"/>
        <rFont val="Times New Roman"/>
        <family val="1"/>
      </rPr>
      <t>2</t>
    </r>
  </si>
  <si>
    <r>
      <t>67.0000 km</t>
    </r>
    <r>
      <rPr>
        <vertAlign val="superscript"/>
        <sz val="8"/>
        <color indexed="8"/>
        <rFont val="Times New Roman"/>
        <family val="1"/>
      </rPr>
      <t>2</t>
    </r>
  </si>
  <si>
    <t>SOCIETE FAKO RESOURCES SARL (100%)</t>
  </si>
  <si>
    <r>
      <t>41.2362 km</t>
    </r>
    <r>
      <rPr>
        <vertAlign val="superscript"/>
        <sz val="8"/>
        <color indexed="8"/>
        <rFont val="Times New Roman"/>
        <family val="1"/>
      </rPr>
      <t>2</t>
    </r>
  </si>
  <si>
    <r>
      <t>241.0301 km</t>
    </r>
    <r>
      <rPr>
        <vertAlign val="superscript"/>
        <sz val="8"/>
        <color indexed="8"/>
        <rFont val="Times New Roman"/>
        <family val="1"/>
      </rPr>
      <t>2</t>
    </r>
  </si>
  <si>
    <t>SOCIETE GEFECO SARL (100%)</t>
  </si>
  <si>
    <r>
      <t>81.2712 km</t>
    </r>
    <r>
      <rPr>
        <vertAlign val="superscript"/>
        <sz val="8"/>
        <color indexed="8"/>
        <rFont val="Times New Roman"/>
        <family val="1"/>
      </rPr>
      <t>2</t>
    </r>
  </si>
  <si>
    <t>SOCIETE BDD MINES SARL (100%)</t>
  </si>
  <si>
    <r>
      <t>69.8536 km</t>
    </r>
    <r>
      <rPr>
        <vertAlign val="superscript"/>
        <sz val="8"/>
        <color indexed="8"/>
        <rFont val="Times New Roman"/>
        <family val="1"/>
      </rPr>
      <t>2</t>
    </r>
  </si>
  <si>
    <t>SOUTH MINING OF GUINEA SARL (100%)</t>
  </si>
  <si>
    <r>
      <t>15.4795 km</t>
    </r>
    <r>
      <rPr>
        <vertAlign val="superscript"/>
        <sz val="8"/>
        <color indexed="8"/>
        <rFont val="Times New Roman"/>
        <family val="1"/>
      </rPr>
      <t>2</t>
    </r>
  </si>
  <si>
    <t>AFRIC INVEST MINING GUINEE SARLU (100%)</t>
  </si>
  <si>
    <t>Cobalt, Cuivre, Etain, Plomb, Tantale, Titane, Zinc</t>
  </si>
  <si>
    <r>
      <t>98.2756 km</t>
    </r>
    <r>
      <rPr>
        <vertAlign val="superscript"/>
        <sz val="8"/>
        <color indexed="8"/>
        <rFont val="Times New Roman"/>
        <family val="1"/>
      </rPr>
      <t>2</t>
    </r>
  </si>
  <si>
    <r>
      <t>90.4111 km</t>
    </r>
    <r>
      <rPr>
        <vertAlign val="superscript"/>
        <sz val="8"/>
        <color indexed="8"/>
        <rFont val="Times New Roman"/>
        <family val="1"/>
      </rPr>
      <t>2</t>
    </r>
  </si>
  <si>
    <t>SOCIETE NESI DAN'S SARL (100%)</t>
  </si>
  <si>
    <r>
      <t>37.7036 km</t>
    </r>
    <r>
      <rPr>
        <vertAlign val="superscript"/>
        <sz val="8"/>
        <color indexed="8"/>
        <rFont val="Times New Roman"/>
        <family val="1"/>
      </rPr>
      <t>2</t>
    </r>
  </si>
  <si>
    <t>AURIFERE DE MANDIANA SARL (100%)</t>
  </si>
  <si>
    <r>
      <t>36.4915 km</t>
    </r>
    <r>
      <rPr>
        <vertAlign val="superscript"/>
        <sz val="8"/>
        <color indexed="8"/>
        <rFont val="Times New Roman"/>
        <family val="1"/>
      </rPr>
      <t>2</t>
    </r>
  </si>
  <si>
    <t>AUSCAN EXPLORATION GUINEE (100%)</t>
  </si>
  <si>
    <t>Cobalt, Cuivre, Nickel</t>
  </si>
  <si>
    <r>
      <t>99.9295 km</t>
    </r>
    <r>
      <rPr>
        <vertAlign val="superscript"/>
        <sz val="8"/>
        <color indexed="8"/>
        <rFont val="Times New Roman"/>
        <family val="1"/>
      </rPr>
      <t>2</t>
    </r>
  </si>
  <si>
    <r>
      <t>91.2966 km</t>
    </r>
    <r>
      <rPr>
        <vertAlign val="superscript"/>
        <sz val="8"/>
        <color indexed="8"/>
        <rFont val="Times New Roman"/>
        <family val="1"/>
      </rPr>
      <t>2</t>
    </r>
  </si>
  <si>
    <t>SOCIETE PLATE FORME MINERAUX ASSOCIE &amp; PARTENAIRES (100%)</t>
  </si>
  <si>
    <r>
      <t>99.7981 km</t>
    </r>
    <r>
      <rPr>
        <vertAlign val="superscript"/>
        <sz val="8"/>
        <color indexed="8"/>
        <rFont val="Times New Roman"/>
        <family val="1"/>
      </rPr>
      <t>2</t>
    </r>
  </si>
  <si>
    <r>
      <t>99.9975 km</t>
    </r>
    <r>
      <rPr>
        <vertAlign val="superscript"/>
        <sz val="8"/>
        <color indexed="8"/>
        <rFont val="Times New Roman"/>
        <family val="1"/>
      </rPr>
      <t>2</t>
    </r>
  </si>
  <si>
    <r>
      <t>80.6462 km</t>
    </r>
    <r>
      <rPr>
        <vertAlign val="superscript"/>
        <sz val="8"/>
        <color indexed="8"/>
        <rFont val="Times New Roman"/>
        <family val="1"/>
      </rPr>
      <t>2</t>
    </r>
  </si>
  <si>
    <t>CONSOLIDATED MINING CORPORATION (100%)</t>
  </si>
  <si>
    <r>
      <t>60.2707 km</t>
    </r>
    <r>
      <rPr>
        <vertAlign val="superscript"/>
        <sz val="8"/>
        <color indexed="8"/>
        <rFont val="Times New Roman"/>
        <family val="1"/>
      </rPr>
      <t>2</t>
    </r>
  </si>
  <si>
    <t>CONSOLITED MINING CORPORATION LIMITED (CMC) (100%)</t>
  </si>
  <si>
    <r>
      <t>22.1702 km</t>
    </r>
    <r>
      <rPr>
        <vertAlign val="superscript"/>
        <sz val="8"/>
        <color indexed="8"/>
        <rFont val="Times New Roman"/>
        <family val="1"/>
      </rPr>
      <t>2</t>
    </r>
  </si>
  <si>
    <r>
      <t>24.3462 km</t>
    </r>
    <r>
      <rPr>
        <vertAlign val="superscript"/>
        <sz val="8"/>
        <color indexed="8"/>
        <rFont val="Times New Roman"/>
        <family val="1"/>
      </rPr>
      <t>2</t>
    </r>
  </si>
  <si>
    <t>ALPHA PROJET PRIME-SARL (100%)</t>
  </si>
  <si>
    <r>
      <t>9.3605 km</t>
    </r>
    <r>
      <rPr>
        <vertAlign val="superscript"/>
        <sz val="8"/>
        <color indexed="8"/>
        <rFont val="Times New Roman"/>
        <family val="1"/>
      </rPr>
      <t>2</t>
    </r>
  </si>
  <si>
    <r>
      <t>15.4794 km</t>
    </r>
    <r>
      <rPr>
        <vertAlign val="superscript"/>
        <sz val="8"/>
        <color indexed="8"/>
        <rFont val="Times New Roman"/>
        <family val="1"/>
      </rPr>
      <t>2</t>
    </r>
  </si>
  <si>
    <t>SOCIETE MAKONGO &amp; AFRICAN PARTNERS SARL (100%)</t>
  </si>
  <si>
    <r>
      <t>48.4661 km</t>
    </r>
    <r>
      <rPr>
        <vertAlign val="superscript"/>
        <sz val="8"/>
        <color indexed="8"/>
        <rFont val="Times New Roman"/>
        <family val="1"/>
      </rPr>
      <t>2</t>
    </r>
  </si>
  <si>
    <r>
      <t>44.7782 km</t>
    </r>
    <r>
      <rPr>
        <vertAlign val="superscript"/>
        <sz val="8"/>
        <color indexed="8"/>
        <rFont val="Times New Roman"/>
        <family val="1"/>
      </rPr>
      <t>2</t>
    </r>
  </si>
  <si>
    <t>ECO SUD GUINEE (100%)</t>
  </si>
  <si>
    <r>
      <t>68.3487 km</t>
    </r>
    <r>
      <rPr>
        <vertAlign val="superscript"/>
        <sz val="8"/>
        <color indexed="8"/>
        <rFont val="Times New Roman"/>
        <family val="1"/>
      </rPr>
      <t>2</t>
    </r>
  </si>
  <si>
    <r>
      <t>66.4438 km</t>
    </r>
    <r>
      <rPr>
        <vertAlign val="superscript"/>
        <sz val="8"/>
        <color indexed="8"/>
        <rFont val="Times New Roman"/>
        <family val="1"/>
      </rPr>
      <t>2</t>
    </r>
  </si>
  <si>
    <r>
      <t>95.6388 km</t>
    </r>
    <r>
      <rPr>
        <vertAlign val="superscript"/>
        <sz val="8"/>
        <color indexed="8"/>
        <rFont val="Times New Roman"/>
        <family val="1"/>
      </rPr>
      <t>2</t>
    </r>
  </si>
  <si>
    <t>KABALABA MINING SARL</t>
  </si>
  <si>
    <r>
      <t>98.2552 km</t>
    </r>
    <r>
      <rPr>
        <vertAlign val="superscript"/>
        <sz val="8"/>
        <color indexed="8"/>
        <rFont val="Times New Roman"/>
        <family val="1"/>
      </rPr>
      <t>2</t>
    </r>
  </si>
  <si>
    <t>MINISTERE DES MINES ET GEOLOGIE</t>
  </si>
  <si>
    <t>Chromite, Cobalt, Cuivre, Manganèse, Nickel</t>
  </si>
  <si>
    <r>
      <t>277.3524 km</t>
    </r>
    <r>
      <rPr>
        <vertAlign val="superscript"/>
        <sz val="8"/>
        <color indexed="8"/>
        <rFont val="Times New Roman"/>
        <family val="1"/>
      </rPr>
      <t>2</t>
    </r>
  </si>
  <si>
    <t>SIMCO (100%)</t>
  </si>
  <si>
    <r>
      <t>38.8637 km</t>
    </r>
    <r>
      <rPr>
        <vertAlign val="superscript"/>
        <sz val="8"/>
        <color indexed="8"/>
        <rFont val="Times New Roman"/>
        <family val="1"/>
      </rPr>
      <t>2</t>
    </r>
  </si>
  <si>
    <t>CASSIDY GOLD GUINEE SA (100%)</t>
  </si>
  <si>
    <r>
      <t>99.9004 km</t>
    </r>
    <r>
      <rPr>
        <vertAlign val="superscript"/>
        <sz val="8"/>
        <color indexed="8"/>
        <rFont val="Times New Roman"/>
        <family val="1"/>
      </rPr>
      <t>2</t>
    </r>
  </si>
  <si>
    <t>DAUMINE -SARL. (100%)</t>
  </si>
  <si>
    <r>
      <t>15.5351 km</t>
    </r>
    <r>
      <rPr>
        <vertAlign val="superscript"/>
        <sz val="8"/>
        <color indexed="8"/>
        <rFont val="Times New Roman"/>
        <family val="1"/>
      </rPr>
      <t>2</t>
    </r>
  </si>
  <si>
    <t>2.0129 Ha</t>
  </si>
  <si>
    <r>
      <t>99.7043 km</t>
    </r>
    <r>
      <rPr>
        <vertAlign val="superscript"/>
        <sz val="8"/>
        <color indexed="8"/>
        <rFont val="Times New Roman"/>
        <family val="1"/>
      </rPr>
      <t>2</t>
    </r>
  </si>
  <si>
    <r>
      <t>99.8363 km</t>
    </r>
    <r>
      <rPr>
        <vertAlign val="superscript"/>
        <sz val="8"/>
        <color indexed="8"/>
        <rFont val="Times New Roman"/>
        <family val="1"/>
      </rPr>
      <t>2</t>
    </r>
  </si>
  <si>
    <t>SOCIETE XING YE KUAN YE -SA</t>
  </si>
  <si>
    <r>
      <t>21.1039 km</t>
    </r>
    <r>
      <rPr>
        <vertAlign val="superscript"/>
        <sz val="8"/>
        <color indexed="8"/>
        <rFont val="Times New Roman"/>
        <family val="1"/>
      </rPr>
      <t>2</t>
    </r>
  </si>
  <si>
    <t>SOCIETE LE GOLDEX SARL (100%)</t>
  </si>
  <si>
    <t>Demande Rejetée</t>
  </si>
  <si>
    <r>
      <t>99.6392 km</t>
    </r>
    <r>
      <rPr>
        <vertAlign val="superscript"/>
        <sz val="8"/>
        <color indexed="8"/>
        <rFont val="Times New Roman"/>
        <family val="1"/>
      </rPr>
      <t>2</t>
    </r>
  </si>
  <si>
    <t>VICTORIA RESSOURCES SAU (100%)</t>
  </si>
  <si>
    <r>
      <t>96.9368 km</t>
    </r>
    <r>
      <rPr>
        <vertAlign val="superscript"/>
        <sz val="8"/>
        <color indexed="8"/>
        <rFont val="Times New Roman"/>
        <family val="1"/>
      </rPr>
      <t>2</t>
    </r>
  </si>
  <si>
    <t>HORIZON ROYAL MINING SA</t>
  </si>
  <si>
    <r>
      <t>72.5900 km</t>
    </r>
    <r>
      <rPr>
        <vertAlign val="superscript"/>
        <sz val="8"/>
        <color indexed="8"/>
        <rFont val="Times New Roman"/>
        <family val="1"/>
      </rPr>
      <t>2</t>
    </r>
  </si>
  <si>
    <t>HORIZON ROYAL MINING SA (100%)</t>
  </si>
  <si>
    <r>
      <t>80.1275 km</t>
    </r>
    <r>
      <rPr>
        <vertAlign val="superscript"/>
        <sz val="8"/>
        <color indexed="8"/>
        <rFont val="Times New Roman"/>
        <family val="1"/>
      </rPr>
      <t>2</t>
    </r>
  </si>
  <si>
    <t>GUINEXCO SARL</t>
  </si>
  <si>
    <r>
      <t>0.6935 km</t>
    </r>
    <r>
      <rPr>
        <vertAlign val="superscript"/>
        <sz val="8"/>
        <color indexed="8"/>
        <rFont val="Times New Roman"/>
        <family val="1"/>
      </rPr>
      <t>2</t>
    </r>
  </si>
  <si>
    <r>
      <t>99.9788 km</t>
    </r>
    <r>
      <rPr>
        <vertAlign val="superscript"/>
        <sz val="8"/>
        <color indexed="8"/>
        <rFont val="Times New Roman"/>
        <family val="1"/>
      </rPr>
      <t>2</t>
    </r>
  </si>
  <si>
    <r>
      <t>50.7654 km</t>
    </r>
    <r>
      <rPr>
        <vertAlign val="superscript"/>
        <sz val="8"/>
        <color indexed="8"/>
        <rFont val="Times New Roman"/>
        <family val="1"/>
      </rPr>
      <t>2</t>
    </r>
  </si>
  <si>
    <t>HORIZON ROYAL GOLD SA (100%)</t>
  </si>
  <si>
    <r>
      <t>84.3614 km</t>
    </r>
    <r>
      <rPr>
        <vertAlign val="superscript"/>
        <sz val="8"/>
        <color indexed="8"/>
        <rFont val="Times New Roman"/>
        <family val="1"/>
      </rPr>
      <t>2</t>
    </r>
  </si>
  <si>
    <r>
      <t>56.8785 km</t>
    </r>
    <r>
      <rPr>
        <vertAlign val="superscript"/>
        <sz val="8"/>
        <color indexed="8"/>
        <rFont val="Times New Roman"/>
        <family val="1"/>
      </rPr>
      <t>2</t>
    </r>
  </si>
  <si>
    <r>
      <t>28.6014 km</t>
    </r>
    <r>
      <rPr>
        <vertAlign val="superscript"/>
        <sz val="8"/>
        <color indexed="8"/>
        <rFont val="Times New Roman"/>
        <family val="1"/>
      </rPr>
      <t>2</t>
    </r>
  </si>
  <si>
    <t>WINNING GUINEE SARLU (100%)</t>
  </si>
  <si>
    <r>
      <t>81.7157 km</t>
    </r>
    <r>
      <rPr>
        <vertAlign val="superscript"/>
        <sz val="8"/>
        <color indexed="8"/>
        <rFont val="Times New Roman"/>
        <family val="1"/>
      </rPr>
      <t>2</t>
    </r>
  </si>
  <si>
    <r>
      <t>94.1184 km</t>
    </r>
    <r>
      <rPr>
        <vertAlign val="superscript"/>
        <sz val="8"/>
        <color indexed="8"/>
        <rFont val="Times New Roman"/>
        <family val="1"/>
      </rPr>
      <t>2</t>
    </r>
  </si>
  <si>
    <r>
      <t>93.9837 km</t>
    </r>
    <r>
      <rPr>
        <vertAlign val="superscript"/>
        <sz val="8"/>
        <color indexed="8"/>
        <rFont val="Times New Roman"/>
        <family val="1"/>
      </rPr>
      <t>2</t>
    </r>
  </si>
  <si>
    <r>
      <t>96.8067 km</t>
    </r>
    <r>
      <rPr>
        <vertAlign val="superscript"/>
        <sz val="8"/>
        <color indexed="8"/>
        <rFont val="Times New Roman"/>
        <family val="1"/>
      </rPr>
      <t>2</t>
    </r>
  </si>
  <si>
    <r>
      <t>161.1401 km</t>
    </r>
    <r>
      <rPr>
        <vertAlign val="superscript"/>
        <sz val="8"/>
        <color indexed="8"/>
        <rFont val="Times New Roman"/>
        <family val="1"/>
      </rPr>
      <t>2</t>
    </r>
  </si>
  <si>
    <t>AMIKOB SARL</t>
  </si>
  <si>
    <r>
      <t>20.0703 km</t>
    </r>
    <r>
      <rPr>
        <vertAlign val="superscript"/>
        <sz val="8"/>
        <color indexed="8"/>
        <rFont val="Times New Roman"/>
        <family val="1"/>
      </rPr>
      <t>2</t>
    </r>
  </si>
  <si>
    <r>
      <t>76.1747 km</t>
    </r>
    <r>
      <rPr>
        <vertAlign val="superscript"/>
        <sz val="8"/>
        <color indexed="8"/>
        <rFont val="Times New Roman"/>
        <family val="1"/>
      </rPr>
      <t>2</t>
    </r>
  </si>
  <si>
    <r>
      <t>99.7922 km</t>
    </r>
    <r>
      <rPr>
        <vertAlign val="superscript"/>
        <sz val="8"/>
        <color indexed="8"/>
        <rFont val="Times New Roman"/>
        <family val="1"/>
      </rPr>
      <t>2</t>
    </r>
  </si>
  <si>
    <r>
      <t>497.2543 km</t>
    </r>
    <r>
      <rPr>
        <vertAlign val="superscript"/>
        <sz val="8"/>
        <color indexed="8"/>
        <rFont val="Times New Roman"/>
        <family val="1"/>
      </rPr>
      <t>2</t>
    </r>
  </si>
  <si>
    <r>
      <t>496.9926 km</t>
    </r>
    <r>
      <rPr>
        <vertAlign val="superscript"/>
        <sz val="8"/>
        <color indexed="8"/>
        <rFont val="Times New Roman"/>
        <family val="1"/>
      </rPr>
      <t>2</t>
    </r>
  </si>
  <si>
    <r>
      <t>99.5814 km</t>
    </r>
    <r>
      <rPr>
        <vertAlign val="superscript"/>
        <sz val="8"/>
        <color indexed="8"/>
        <rFont val="Times New Roman"/>
        <family val="1"/>
      </rPr>
      <t>2</t>
    </r>
  </si>
  <si>
    <t>FINIYA RESSOURCES -SAU (100%)</t>
  </si>
  <si>
    <r>
      <t>88.2449 km</t>
    </r>
    <r>
      <rPr>
        <vertAlign val="superscript"/>
        <sz val="8"/>
        <color indexed="8"/>
        <rFont val="Times New Roman"/>
        <family val="1"/>
      </rPr>
      <t>2</t>
    </r>
  </si>
  <si>
    <t>DAPILON SARLU (100%)</t>
  </si>
  <si>
    <r>
      <t>90.6334 km</t>
    </r>
    <r>
      <rPr>
        <vertAlign val="superscript"/>
        <sz val="8"/>
        <color indexed="8"/>
        <rFont val="Times New Roman"/>
        <family val="1"/>
      </rPr>
      <t>2</t>
    </r>
  </si>
  <si>
    <r>
      <t>99.1084 km</t>
    </r>
    <r>
      <rPr>
        <vertAlign val="superscript"/>
        <sz val="8"/>
        <color indexed="8"/>
        <rFont val="Times New Roman"/>
        <family val="1"/>
      </rPr>
      <t>2</t>
    </r>
  </si>
  <si>
    <t>JIN YUAN SARL (100%)</t>
  </si>
  <si>
    <r>
      <t>99.9594 km</t>
    </r>
    <r>
      <rPr>
        <vertAlign val="superscript"/>
        <sz val="8"/>
        <color indexed="8"/>
        <rFont val="Times New Roman"/>
        <family val="1"/>
      </rPr>
      <t>2</t>
    </r>
  </si>
  <si>
    <r>
      <t>99.5947 km</t>
    </r>
    <r>
      <rPr>
        <vertAlign val="superscript"/>
        <sz val="8"/>
        <color indexed="8"/>
        <rFont val="Times New Roman"/>
        <family val="1"/>
      </rPr>
      <t>2</t>
    </r>
  </si>
  <si>
    <t>N°2018/022/MMG/DNM</t>
  </si>
  <si>
    <r>
      <t>94.8826 km</t>
    </r>
    <r>
      <rPr>
        <vertAlign val="superscript"/>
        <sz val="8"/>
        <color indexed="8"/>
        <rFont val="Times New Roman"/>
        <family val="1"/>
      </rPr>
      <t>2</t>
    </r>
  </si>
  <si>
    <t>FELA SANDANFARA SARL (100%)</t>
  </si>
  <si>
    <r>
      <t>99.9293 km</t>
    </r>
    <r>
      <rPr>
        <vertAlign val="superscript"/>
        <sz val="8"/>
        <color indexed="8"/>
        <rFont val="Times New Roman"/>
        <family val="1"/>
      </rPr>
      <t>2</t>
    </r>
  </si>
  <si>
    <r>
      <t>431.6128 km</t>
    </r>
    <r>
      <rPr>
        <vertAlign val="superscript"/>
        <sz val="8"/>
        <color indexed="8"/>
        <rFont val="Times New Roman"/>
        <family val="1"/>
      </rPr>
      <t>2</t>
    </r>
  </si>
  <si>
    <t>SHUANG FENG SARL (100%)</t>
  </si>
  <si>
    <r>
      <t>99.8690 km</t>
    </r>
    <r>
      <rPr>
        <vertAlign val="superscript"/>
        <sz val="8"/>
        <color indexed="8"/>
        <rFont val="Times New Roman"/>
        <family val="1"/>
      </rPr>
      <t>2</t>
    </r>
  </si>
  <si>
    <r>
      <t>64.8103 km</t>
    </r>
    <r>
      <rPr>
        <vertAlign val="superscript"/>
        <sz val="8"/>
        <color indexed="8"/>
        <rFont val="Times New Roman"/>
        <family val="1"/>
      </rPr>
      <t>2</t>
    </r>
  </si>
  <si>
    <t>ENTREPRISE HUA YI SARL (100%)</t>
  </si>
  <si>
    <r>
      <t>81.2309 km</t>
    </r>
    <r>
      <rPr>
        <vertAlign val="superscript"/>
        <sz val="8"/>
        <color indexed="8"/>
        <rFont val="Times New Roman"/>
        <family val="1"/>
      </rPr>
      <t>2</t>
    </r>
  </si>
  <si>
    <r>
      <t>84.1502 km</t>
    </r>
    <r>
      <rPr>
        <vertAlign val="superscript"/>
        <sz val="8"/>
        <color indexed="8"/>
        <rFont val="Times New Roman"/>
        <family val="1"/>
      </rPr>
      <t>2</t>
    </r>
  </si>
  <si>
    <t>PREDICTIVE DISCOVERY LTD (100%)</t>
  </si>
  <si>
    <r>
      <t>99.4823 km</t>
    </r>
    <r>
      <rPr>
        <vertAlign val="superscript"/>
        <sz val="8"/>
        <color indexed="8"/>
        <rFont val="Times New Roman"/>
        <family val="1"/>
      </rPr>
      <t>2</t>
    </r>
  </si>
  <si>
    <r>
      <t>99.8761 km</t>
    </r>
    <r>
      <rPr>
        <vertAlign val="superscript"/>
        <sz val="8"/>
        <color indexed="8"/>
        <rFont val="Times New Roman"/>
        <family val="1"/>
      </rPr>
      <t>2</t>
    </r>
  </si>
  <si>
    <t>COMPAGNIE DES MINES DE GUINEE SARLU (100%)</t>
  </si>
  <si>
    <r>
      <t>27.0373 km</t>
    </r>
    <r>
      <rPr>
        <vertAlign val="superscript"/>
        <sz val="8"/>
        <color indexed="8"/>
        <rFont val="Times New Roman"/>
        <family val="1"/>
      </rPr>
      <t>2</t>
    </r>
  </si>
  <si>
    <r>
      <t>45.9889 km</t>
    </r>
    <r>
      <rPr>
        <vertAlign val="superscript"/>
        <sz val="8"/>
        <color indexed="8"/>
        <rFont val="Times New Roman"/>
        <family val="1"/>
      </rPr>
      <t>2</t>
    </r>
  </si>
  <si>
    <t>COMPAGNIE MINIERE DE GUINEE SARLU (100%)</t>
  </si>
  <si>
    <r>
      <t>78.0875 km</t>
    </r>
    <r>
      <rPr>
        <vertAlign val="superscript"/>
        <sz val="8"/>
        <color indexed="8"/>
        <rFont val="Times New Roman"/>
        <family val="1"/>
      </rPr>
      <t>2</t>
    </r>
  </si>
  <si>
    <t>AGE GUINEA MINERAL SARLU (100%)</t>
  </si>
  <si>
    <r>
      <t>368.6181 km</t>
    </r>
    <r>
      <rPr>
        <vertAlign val="superscript"/>
        <sz val="8"/>
        <color indexed="8"/>
        <rFont val="Times New Roman"/>
        <family val="1"/>
      </rPr>
      <t>2</t>
    </r>
  </si>
  <si>
    <r>
      <t>495.8970 km</t>
    </r>
    <r>
      <rPr>
        <vertAlign val="superscript"/>
        <sz val="8"/>
        <color indexed="8"/>
        <rFont val="Times New Roman"/>
        <family val="1"/>
      </rPr>
      <t>2</t>
    </r>
  </si>
  <si>
    <t>SAGAR GOLD MINING SARL</t>
  </si>
  <si>
    <r>
      <t>95.5044 km</t>
    </r>
    <r>
      <rPr>
        <vertAlign val="superscript"/>
        <sz val="8"/>
        <color indexed="8"/>
        <rFont val="Times New Roman"/>
        <family val="1"/>
      </rPr>
      <t>2</t>
    </r>
  </si>
  <si>
    <t>CC ENERGY MINERALS SARLU</t>
  </si>
  <si>
    <r>
      <t>98.4495 km</t>
    </r>
    <r>
      <rPr>
        <vertAlign val="superscript"/>
        <sz val="8"/>
        <color indexed="8"/>
        <rFont val="Times New Roman"/>
        <family val="1"/>
      </rPr>
      <t>2</t>
    </r>
  </si>
  <si>
    <r>
      <t>95.9478 km</t>
    </r>
    <r>
      <rPr>
        <vertAlign val="superscript"/>
        <sz val="8"/>
        <color indexed="8"/>
        <rFont val="Times New Roman"/>
        <family val="1"/>
      </rPr>
      <t>2</t>
    </r>
  </si>
  <si>
    <r>
      <t>99.8380 km</t>
    </r>
    <r>
      <rPr>
        <vertAlign val="superscript"/>
        <sz val="8"/>
        <color indexed="8"/>
        <rFont val="Times New Roman"/>
        <family val="1"/>
      </rPr>
      <t>2</t>
    </r>
  </si>
  <si>
    <r>
      <t>99.9816 km</t>
    </r>
    <r>
      <rPr>
        <vertAlign val="superscript"/>
        <sz val="8"/>
        <color indexed="8"/>
        <rFont val="Times New Roman"/>
        <family val="1"/>
      </rPr>
      <t>2</t>
    </r>
  </si>
  <si>
    <t>AURIFERE DE DOKO GUINEE SA (100%)</t>
  </si>
  <si>
    <r>
      <t>59.1169 km</t>
    </r>
    <r>
      <rPr>
        <vertAlign val="superscript"/>
        <sz val="8"/>
        <color indexed="8"/>
        <rFont val="Times New Roman"/>
        <family val="1"/>
      </rPr>
      <t>2</t>
    </r>
  </si>
  <si>
    <t>SOCIETE ENVIROTAC GUINEE SARL</t>
  </si>
  <si>
    <r>
      <t>99.1664 km</t>
    </r>
    <r>
      <rPr>
        <vertAlign val="superscript"/>
        <sz val="8"/>
        <color indexed="8"/>
        <rFont val="Times New Roman"/>
        <family val="1"/>
      </rPr>
      <t>2</t>
    </r>
  </si>
  <si>
    <r>
      <t>77.2317 km</t>
    </r>
    <r>
      <rPr>
        <vertAlign val="superscript"/>
        <sz val="8"/>
        <color indexed="8"/>
        <rFont val="Times New Roman"/>
        <family val="1"/>
      </rPr>
      <t>2</t>
    </r>
  </si>
  <si>
    <t>VIDHIXA SARL</t>
  </si>
  <si>
    <r>
      <t>81.5791 km</t>
    </r>
    <r>
      <rPr>
        <vertAlign val="superscript"/>
        <sz val="8"/>
        <color indexed="8"/>
        <rFont val="Times New Roman"/>
        <family val="1"/>
      </rPr>
      <t>2</t>
    </r>
  </si>
  <si>
    <r>
      <t>60.3336 km</t>
    </r>
    <r>
      <rPr>
        <vertAlign val="superscript"/>
        <sz val="8"/>
        <color indexed="8"/>
        <rFont val="Times New Roman"/>
        <family val="1"/>
      </rPr>
      <t>2</t>
    </r>
  </si>
  <si>
    <r>
      <t>490.5178 km</t>
    </r>
    <r>
      <rPr>
        <vertAlign val="superscript"/>
        <sz val="8"/>
        <color indexed="8"/>
        <rFont val="Times New Roman"/>
        <family val="1"/>
      </rPr>
      <t>2</t>
    </r>
  </si>
  <si>
    <t>SOCIETE REVEAL ANALYTICS SARLU</t>
  </si>
  <si>
    <r>
      <t>98.6633 km</t>
    </r>
    <r>
      <rPr>
        <vertAlign val="superscript"/>
        <sz val="8"/>
        <color indexed="8"/>
        <rFont val="Times New Roman"/>
        <family val="1"/>
      </rPr>
      <t>2</t>
    </r>
  </si>
  <si>
    <t>A2019/4238/MMG/SGG</t>
  </si>
  <si>
    <t>DNM</t>
  </si>
  <si>
    <t>416.2759 Ha</t>
  </si>
  <si>
    <t>N°2019/016/MMG/DNM</t>
  </si>
  <si>
    <r>
      <t>70.6282 km</t>
    </r>
    <r>
      <rPr>
        <vertAlign val="superscript"/>
        <sz val="8"/>
        <color indexed="8"/>
        <rFont val="Times New Roman"/>
        <family val="1"/>
      </rPr>
      <t>2</t>
    </r>
  </si>
  <si>
    <t>N°2019/020/MMG/DNM</t>
  </si>
  <si>
    <t>SOCIETE PETROGUI SA</t>
  </si>
  <si>
    <r>
      <t>316.0727 km</t>
    </r>
    <r>
      <rPr>
        <vertAlign val="superscript"/>
        <sz val="8"/>
        <color indexed="8"/>
        <rFont val="Times New Roman"/>
        <family val="1"/>
      </rPr>
      <t>2</t>
    </r>
  </si>
  <si>
    <t>N°2019/018/MMG/DNM</t>
  </si>
  <si>
    <r>
      <t>499.9113 km</t>
    </r>
    <r>
      <rPr>
        <vertAlign val="superscript"/>
        <sz val="8"/>
        <color indexed="8"/>
        <rFont val="Times New Roman"/>
        <family val="1"/>
      </rPr>
      <t>2</t>
    </r>
  </si>
  <si>
    <t>N°2019/022/MMG/DNM</t>
  </si>
  <si>
    <t>SOCIETE DUBLIN MINING &amp; PARTNERS SARL</t>
  </si>
  <si>
    <r>
      <t>69.2107 km</t>
    </r>
    <r>
      <rPr>
        <vertAlign val="superscript"/>
        <sz val="8"/>
        <color indexed="8"/>
        <rFont val="Times New Roman"/>
        <family val="1"/>
      </rPr>
      <t>2</t>
    </r>
  </si>
  <si>
    <r>
      <t>499.7350 km</t>
    </r>
    <r>
      <rPr>
        <vertAlign val="superscript"/>
        <sz val="8"/>
        <color indexed="8"/>
        <rFont val="Times New Roman"/>
        <family val="1"/>
      </rPr>
      <t>2</t>
    </r>
  </si>
  <si>
    <r>
      <t>298.6237 km</t>
    </r>
    <r>
      <rPr>
        <vertAlign val="superscript"/>
        <sz val="8"/>
        <color indexed="8"/>
        <rFont val="Times New Roman"/>
        <family val="1"/>
      </rPr>
      <t>2</t>
    </r>
  </si>
  <si>
    <r>
      <t>14.7346 km</t>
    </r>
    <r>
      <rPr>
        <vertAlign val="superscript"/>
        <sz val="8"/>
        <color indexed="8"/>
        <rFont val="Times New Roman"/>
        <family val="1"/>
      </rPr>
      <t>2</t>
    </r>
  </si>
  <si>
    <r>
      <t>2.4497 km</t>
    </r>
    <r>
      <rPr>
        <vertAlign val="superscript"/>
        <sz val="8"/>
        <color indexed="8"/>
        <rFont val="Times New Roman"/>
        <family val="1"/>
      </rPr>
      <t>2</t>
    </r>
  </si>
  <si>
    <t>N°2019/024/MMG/DNM</t>
  </si>
  <si>
    <r>
      <t>45.4628 km</t>
    </r>
    <r>
      <rPr>
        <vertAlign val="superscript"/>
        <sz val="8"/>
        <color indexed="8"/>
        <rFont val="Times New Roman"/>
        <family val="1"/>
      </rPr>
      <t>2</t>
    </r>
  </si>
  <si>
    <r>
      <t>189.2191 km</t>
    </r>
    <r>
      <rPr>
        <vertAlign val="superscript"/>
        <sz val="8"/>
        <color indexed="8"/>
        <rFont val="Times New Roman"/>
        <family val="1"/>
      </rPr>
      <t>2</t>
    </r>
  </si>
  <si>
    <t>N°2019/026/MMG/DNM</t>
  </si>
  <si>
    <t>SOCIETE SACKO INGENIERIE &amp; CONSTRUCTION SARL</t>
  </si>
  <si>
    <r>
      <t>288.5203 km</t>
    </r>
    <r>
      <rPr>
        <vertAlign val="superscript"/>
        <sz val="8"/>
        <color indexed="8"/>
        <rFont val="Times New Roman"/>
        <family val="1"/>
      </rPr>
      <t>2</t>
    </r>
  </si>
  <si>
    <t>N°2019/027/MMG/DNM</t>
  </si>
  <si>
    <r>
      <t>82.2866 km</t>
    </r>
    <r>
      <rPr>
        <vertAlign val="superscript"/>
        <sz val="8"/>
        <color indexed="8"/>
        <rFont val="Times New Roman"/>
        <family val="1"/>
      </rPr>
      <t>2</t>
    </r>
  </si>
  <si>
    <t>N°2019/028/MMG/DNM</t>
  </si>
  <si>
    <r>
      <t>364.4152 km</t>
    </r>
    <r>
      <rPr>
        <vertAlign val="superscript"/>
        <sz val="8"/>
        <color indexed="8"/>
        <rFont val="Times New Roman"/>
        <family val="1"/>
      </rPr>
      <t>2</t>
    </r>
  </si>
  <si>
    <r>
      <t>91.8004 km</t>
    </r>
    <r>
      <rPr>
        <vertAlign val="superscript"/>
        <sz val="8"/>
        <color indexed="8"/>
        <rFont val="Times New Roman"/>
        <family val="1"/>
      </rPr>
      <t>2</t>
    </r>
  </si>
  <si>
    <t>N°2020/001/MMG/DNM</t>
  </si>
  <si>
    <r>
      <t>307.5005 km</t>
    </r>
    <r>
      <rPr>
        <vertAlign val="superscript"/>
        <sz val="8"/>
        <color indexed="8"/>
        <rFont val="Times New Roman"/>
        <family val="1"/>
      </rPr>
      <t>2</t>
    </r>
  </si>
  <si>
    <r>
      <t>178.2401 km</t>
    </r>
    <r>
      <rPr>
        <vertAlign val="superscript"/>
        <sz val="8"/>
        <color indexed="8"/>
        <rFont val="Times New Roman"/>
        <family val="1"/>
      </rPr>
      <t>2</t>
    </r>
  </si>
  <si>
    <r>
      <t>99.3452 km</t>
    </r>
    <r>
      <rPr>
        <vertAlign val="superscript"/>
        <sz val="8"/>
        <color indexed="8"/>
        <rFont val="Times New Roman"/>
        <family val="1"/>
      </rPr>
      <t>2</t>
    </r>
  </si>
  <si>
    <r>
      <t>93.6289 km</t>
    </r>
    <r>
      <rPr>
        <vertAlign val="superscript"/>
        <sz val="8"/>
        <color indexed="8"/>
        <rFont val="Times New Roman"/>
        <family val="1"/>
      </rPr>
      <t>2</t>
    </r>
  </si>
  <si>
    <r>
      <t>37.8479 km</t>
    </r>
    <r>
      <rPr>
        <vertAlign val="superscript"/>
        <sz val="8"/>
        <color indexed="8"/>
        <rFont val="Times New Roman"/>
        <family val="1"/>
      </rPr>
      <t>2</t>
    </r>
  </si>
  <si>
    <r>
      <t>95.5066 km</t>
    </r>
    <r>
      <rPr>
        <vertAlign val="superscript"/>
        <sz val="8"/>
        <color indexed="8"/>
        <rFont val="Times New Roman"/>
        <family val="1"/>
      </rPr>
      <t>2</t>
    </r>
  </si>
  <si>
    <t>N°2020/002/MMG/DNM</t>
  </si>
  <si>
    <r>
      <t>499.6106 km</t>
    </r>
    <r>
      <rPr>
        <vertAlign val="superscript"/>
        <sz val="8"/>
        <color indexed="8"/>
        <rFont val="Times New Roman"/>
        <family val="1"/>
      </rPr>
      <t>2</t>
    </r>
  </si>
  <si>
    <t>SOCIETE SANTOU SUD SASU SASU</t>
  </si>
  <si>
    <t>Demande (annulée)</t>
  </si>
  <si>
    <r>
      <t>158.2730 km</t>
    </r>
    <r>
      <rPr>
        <vertAlign val="superscript"/>
        <sz val="8"/>
        <color indexed="8"/>
        <rFont val="Times New Roman"/>
        <family val="1"/>
      </rPr>
      <t>2</t>
    </r>
  </si>
  <si>
    <r>
      <t>278.9210 km</t>
    </r>
    <r>
      <rPr>
        <vertAlign val="superscript"/>
        <sz val="8"/>
        <color indexed="8"/>
        <rFont val="Times New Roman"/>
        <family val="1"/>
      </rPr>
      <t>2</t>
    </r>
  </si>
  <si>
    <r>
      <t>240.1924 km</t>
    </r>
    <r>
      <rPr>
        <vertAlign val="superscript"/>
        <sz val="8"/>
        <color indexed="8"/>
        <rFont val="Times New Roman"/>
        <family val="1"/>
      </rPr>
      <t>2</t>
    </r>
  </si>
  <si>
    <t>Métal lourd, Nickel</t>
  </si>
  <si>
    <r>
      <t>99.3384 km</t>
    </r>
    <r>
      <rPr>
        <vertAlign val="superscript"/>
        <sz val="8"/>
        <color indexed="8"/>
        <rFont val="Times New Roman"/>
        <family val="1"/>
      </rPr>
      <t>2</t>
    </r>
  </si>
  <si>
    <t>SOCIETE GUINEA GOLD MINING SARLU</t>
  </si>
  <si>
    <r>
      <t>78.9676 km</t>
    </r>
    <r>
      <rPr>
        <vertAlign val="superscript"/>
        <sz val="8"/>
        <color indexed="8"/>
        <rFont val="Times New Roman"/>
        <family val="1"/>
      </rPr>
      <t>2</t>
    </r>
  </si>
  <si>
    <r>
      <t>212.6316 km</t>
    </r>
    <r>
      <rPr>
        <vertAlign val="superscript"/>
        <sz val="8"/>
        <color indexed="8"/>
        <rFont val="Times New Roman"/>
        <family val="1"/>
      </rPr>
      <t>2</t>
    </r>
  </si>
  <si>
    <r>
      <t>114.0893 km</t>
    </r>
    <r>
      <rPr>
        <vertAlign val="superscript"/>
        <sz val="8"/>
        <color indexed="8"/>
        <rFont val="Times New Roman"/>
        <family val="1"/>
      </rPr>
      <t>2</t>
    </r>
  </si>
  <si>
    <r>
      <t>293.3344 km</t>
    </r>
    <r>
      <rPr>
        <vertAlign val="superscript"/>
        <sz val="8"/>
        <color indexed="8"/>
        <rFont val="Times New Roman"/>
        <family val="1"/>
      </rPr>
      <t>2</t>
    </r>
  </si>
  <si>
    <t>A2020/3476//MMG/SGG</t>
  </si>
  <si>
    <t>SOCIETE KYLIN SARLU</t>
  </si>
  <si>
    <r>
      <t>47.7657 km</t>
    </r>
    <r>
      <rPr>
        <vertAlign val="superscript"/>
        <sz val="8"/>
        <color indexed="8"/>
        <rFont val="Times New Roman"/>
        <family val="1"/>
      </rPr>
      <t>2</t>
    </r>
  </si>
  <si>
    <r>
      <t>92.3999 km</t>
    </r>
    <r>
      <rPr>
        <vertAlign val="superscript"/>
        <sz val="8"/>
        <color indexed="8"/>
        <rFont val="Times New Roman"/>
        <family val="1"/>
      </rPr>
      <t>2</t>
    </r>
  </si>
  <si>
    <r>
      <t>81.7970 km</t>
    </r>
    <r>
      <rPr>
        <vertAlign val="superscript"/>
        <sz val="8"/>
        <color indexed="8"/>
        <rFont val="Times New Roman"/>
        <family val="1"/>
      </rPr>
      <t>2</t>
    </r>
  </si>
  <si>
    <r>
      <t>38.1778 km</t>
    </r>
    <r>
      <rPr>
        <vertAlign val="superscript"/>
        <sz val="8"/>
        <color indexed="8"/>
        <rFont val="Times New Roman"/>
        <family val="1"/>
      </rPr>
      <t>2</t>
    </r>
  </si>
  <si>
    <r>
      <t>99.7825 km</t>
    </r>
    <r>
      <rPr>
        <vertAlign val="superscript"/>
        <sz val="8"/>
        <color indexed="8"/>
        <rFont val="Times New Roman"/>
        <family val="1"/>
      </rPr>
      <t>2</t>
    </r>
  </si>
  <si>
    <t>10.1</t>
  </si>
  <si>
    <t>10.2</t>
  </si>
  <si>
    <t>10.3</t>
  </si>
  <si>
    <t>10.4</t>
  </si>
  <si>
    <t>10.5</t>
  </si>
  <si>
    <t>COMPAGNIE DU DEVELOPPEMENT DES MINES INTERNATIONALES HENAN CHINE</t>
  </si>
  <si>
    <t>10.6</t>
  </si>
  <si>
    <t>10.7</t>
  </si>
  <si>
    <t>10.8</t>
  </si>
  <si>
    <t>10.9</t>
  </si>
  <si>
    <t>10.10</t>
  </si>
  <si>
    <t>10.11</t>
  </si>
  <si>
    <t>10.12</t>
  </si>
  <si>
    <t>Nom de la société</t>
  </si>
  <si>
    <t>NIF</t>
  </si>
  <si>
    <t>Année</t>
  </si>
  <si>
    <t>Nomenclature des flux</t>
  </si>
  <si>
    <t>Régie</t>
  </si>
  <si>
    <t>Companies</t>
  </si>
  <si>
    <t>Gouvernement</t>
  </si>
  <si>
    <t>Différence Finale</t>
  </si>
  <si>
    <t>Initial</t>
  </si>
  <si>
    <t>Ajustements</t>
  </si>
  <si>
    <t>Final</t>
  </si>
  <si>
    <t>Paiements en numéraire des sociétés extractives à l'Etat</t>
  </si>
  <si>
    <t>Taxes à l’exportation des substances minières autres que les substances précieuses (Bauxite, fer, etc..)</t>
  </si>
  <si>
    <t>DGD</t>
  </si>
  <si>
    <t>Droits de douanes (Droits, TVA, etc.)</t>
  </si>
  <si>
    <t>Paiements infranationaux</t>
  </si>
  <si>
    <t xml:space="preserve">   </t>
  </si>
  <si>
    <t>Redevance superficiaire</t>
  </si>
  <si>
    <t>Collectivités</t>
  </si>
  <si>
    <t>Total payments</t>
  </si>
  <si>
    <t>Taxe Spéciale sur les Produits Miniers (TSPM)</t>
  </si>
  <si>
    <t>DGTCP</t>
  </si>
  <si>
    <t>Loyers des infrastructures minières</t>
  </si>
  <si>
    <t>ANAIM</t>
  </si>
  <si>
    <t xml:space="preserve">Droits fixes </t>
  </si>
  <si>
    <t>FIM</t>
  </si>
  <si>
    <t>Pas de déclaration de deux cotés</t>
  </si>
  <si>
    <t xml:space="preserve">Contribution à la formation professionnelle et apprentissage </t>
  </si>
  <si>
    <t>ONFPP</t>
  </si>
  <si>
    <t>Défaut de déclaration de la société (Ecart non analysé)</t>
  </si>
  <si>
    <t>Taxe sur la production et l’exportation industrielle et semi-industrielle de métaux précieux (OR et autres)</t>
  </si>
  <si>
    <t>Secteur</t>
  </si>
  <si>
    <t>Montant en GNF</t>
  </si>
  <si>
    <t>Secteur des Mines &amp; Carrières</t>
  </si>
  <si>
    <t>Sous-traitants minier</t>
  </si>
  <si>
    <t xml:space="preserve">SOCIETE GUINEAN GOLD EXPLORATIONS </t>
  </si>
  <si>
    <t>Secteur des Mines &amp; Carrières (Entreprises d'Etat)</t>
  </si>
  <si>
    <t>#N/A</t>
  </si>
  <si>
    <t>CHALCO GUINEA PORT SAU</t>
  </si>
  <si>
    <t>L'OFFICE NATIONAL DES PETROLES</t>
  </si>
  <si>
    <t>Secteur des hydrocarbures (Entreprises d’Etat)</t>
  </si>
  <si>
    <t>SHAPOORJI PALLONJI AND COMPANY PRIVATE LIMITED - SUCC</t>
  </si>
  <si>
    <t>BCM SERVIS MINIERS - SARLU</t>
  </si>
  <si>
    <t>ORE SEARCH FORAGE GUINEE</t>
  </si>
  <si>
    <t>CHINA HARBOUR ENGINERING GUINEE CO.LTD</t>
  </si>
  <si>
    <t>ORESEARCH FORAGE SUCCURSALE</t>
  </si>
  <si>
    <t>SOCIETE HUNG SHENG FEI GROUP SA</t>
  </si>
  <si>
    <t>SOCIETE MARINE CONTRACTING AND INFRASTRUCTURE -SAS</t>
  </si>
  <si>
    <t>SOCIETE PHOENIX GBT SARL</t>
  </si>
  <si>
    <t>ORESEARCH SERVICES MINIERS SUCCURSALE</t>
  </si>
  <si>
    <t>STE GUINEENNE DE LOGISTIQUE &amp; DES MINES SARL</t>
  </si>
  <si>
    <t>STE XINJIANG TBEA GROUP CO LTD</t>
  </si>
  <si>
    <t>LEDUC GUINEE SUCCURSALE</t>
  </si>
  <si>
    <t>GROUPEMENT ETEP GUICOPRES BTP GIE</t>
  </si>
  <si>
    <t>GRANDS TRAVAUX MINIERS ET DE CONSTRUCTION</t>
  </si>
  <si>
    <t>STE TROPICALE DE GRANITE SARLU</t>
  </si>
  <si>
    <t>SOC INTERN. DE COOPERATION ECONOMIQUE ET TECHNIQUE DE BENGBU</t>
  </si>
  <si>
    <t>BAUXITE KIMBO SA</t>
  </si>
  <si>
    <t>SOCIETE STEF ANUTTI STOCKS GUINEA SARLUNIPERS</t>
  </si>
  <si>
    <t>CHINA RAILWAY 18TH BUREAU GROUP CO, LTD - SUCC</t>
  </si>
  <si>
    <t>SOCIETE FRUITS TROPICAUX SARL</t>
  </si>
  <si>
    <t>WINNING CONSORTIUM SIMANDOU PORTS</t>
  </si>
  <si>
    <t>SOCIETE DE DEVELOPPEMENT SINO GUINEEN</t>
  </si>
  <si>
    <t>STE SOREX SA</t>
  </si>
  <si>
    <t>SOCIETE HYDROCARBURE DE GUINEE-SARL</t>
  </si>
  <si>
    <t>SOCIETE DRA GUINEA SARLUNIPERS</t>
  </si>
  <si>
    <t>STE TIGONG SARLU</t>
  </si>
  <si>
    <t>SOCIETE CIVIL SOLUTIONS GUINEE SARL</t>
  </si>
  <si>
    <t>SOCIETE KATEX INTERNATIONAL TRADING SARL</t>
  </si>
  <si>
    <t>STE D'EXPLORATION DE MANDIANA SA</t>
  </si>
  <si>
    <t>SOCIETE GUINEE FORAGE SARL</t>
  </si>
  <si>
    <t>SOCIETE MARGA CONSTRUCTION ASSINISSEMENT TERRASSEMENT ENTRETIEN ET RENOVATION SARLU</t>
  </si>
  <si>
    <t>STE BAFATA MINING GUINEE SA</t>
  </si>
  <si>
    <t>STE GUINEE GOLD SHOVEL</t>
  </si>
  <si>
    <t>STE PROSIS MINING GUINEE SARL</t>
  </si>
  <si>
    <t>STE WEI HENG MINING SARL</t>
  </si>
  <si>
    <t>STE CONSOLIDATED MINING CORPORATION SARL</t>
  </si>
  <si>
    <t>STE CRBC GUINEE</t>
  </si>
  <si>
    <t>STE MINERO STRAT CORPORATION</t>
  </si>
  <si>
    <t>STE MANA GUINEE SA</t>
  </si>
  <si>
    <t>STE MOSY SARL</t>
  </si>
  <si>
    <t>STE GUINEE GOLD SHOVEL SARLU</t>
  </si>
  <si>
    <t>POWER FORAGE SARL</t>
  </si>
  <si>
    <t>CHINA RAILWAY 21ST BUREAU GROUP CO.,LTD</t>
  </si>
  <si>
    <t>STE AWASSOU INVESTMENT SA</t>
  </si>
  <si>
    <t>STE PHOENIX PRECIOUS METALS</t>
  </si>
  <si>
    <t>STE SHANGAI PU-ZHEN SARLU</t>
  </si>
  <si>
    <t>STE VETRO GOLD</t>
  </si>
  <si>
    <t>STE XINJIANG TBEA GROUP CO-LTD</t>
  </si>
  <si>
    <t>STE SOMACO SA</t>
  </si>
  <si>
    <t>STE L'OR D'AFRIQUE SARLU</t>
  </si>
  <si>
    <t>STE ZIZHU MINING SARL</t>
  </si>
  <si>
    <t>STE GENTA GUINEA RESSOURCES SA</t>
  </si>
  <si>
    <t>STE KOUROUSSA EXPLORATION SARLU</t>
  </si>
  <si>
    <t>STE ORISHA RESSOURCES SARLU</t>
  </si>
  <si>
    <t>STE ODHAV MULTI INDUSTRIES SA</t>
  </si>
  <si>
    <t>STE MINIERE DE SIGUIRI SARL</t>
  </si>
  <si>
    <t>STE SWISS SINGAPORE MINERAL TRADING SARL</t>
  </si>
  <si>
    <t>STE MAISON KEBO GUINEE SA</t>
  </si>
  <si>
    <t>STE WEILY MINING SA</t>
  </si>
  <si>
    <t>STE KOUROUSSA MINING LOGISTIQUE SARL</t>
  </si>
  <si>
    <t>PROGUINEE INTERNATIONAL</t>
  </si>
  <si>
    <t>STE SOGUIPAMI SA</t>
  </si>
  <si>
    <t>SOCIETE SOREX - SARLUnip</t>
  </si>
  <si>
    <t>JAGAN T FORAGE SARL</t>
  </si>
  <si>
    <t>STE ELITE MINING GUINEE SA</t>
  </si>
  <si>
    <t>STE KATAMON MINING SARL</t>
  </si>
  <si>
    <t>SOCIETE GUINEA TRADE ET LOGISTICS SARLU</t>
  </si>
  <si>
    <t>ETABLISSEMENTS BARO KALILOU</t>
  </si>
  <si>
    <t>STE GUINEENNE DE FINANCEMENT ET D'INVESTISSEMENT</t>
  </si>
  <si>
    <t>SOCIETE PROFESSIONAL DRILLERS GUINEE SARL</t>
  </si>
  <si>
    <t>CHINA JIANGSU INTERNATIONAL GUINEE SARL UNIP</t>
  </si>
  <si>
    <t>STE I AM GOLD CORPORATION SARL</t>
  </si>
  <si>
    <t>BOURE SANOU</t>
  </si>
  <si>
    <t>STE NEW ENGLAND MINING SARLU</t>
  </si>
  <si>
    <t>B S RIGS GUINEE</t>
  </si>
  <si>
    <t>STE CAUCASE GUINEE SARL</t>
  </si>
  <si>
    <t>BATI-AFRIQUE</t>
  </si>
  <si>
    <t>SOCIETE CONAKRY FORAGE SARL</t>
  </si>
  <si>
    <t>GLOBAL INVESTMENT et CONSULTING SARL</t>
  </si>
  <si>
    <t>STE GUINEA IRON AND METAL MINING SARL</t>
  </si>
  <si>
    <t>STE GUINEENNE DE FINANCEMENT ET D'INVESTISSEMENT SARLU</t>
  </si>
  <si>
    <t>STE AKA MINING SARLU</t>
  </si>
  <si>
    <t>STE LONDON HOPE MINING SARLU</t>
  </si>
  <si>
    <t>SOCIETE WAKILLI SARL</t>
  </si>
  <si>
    <t>SOCIETE DIAMOND FORAGE SARL</t>
  </si>
  <si>
    <t>NILE FORAGE SARL</t>
  </si>
  <si>
    <t>SOCIETE AL-MADINA FORAGE SARLU</t>
  </si>
  <si>
    <t>SHENGDA ENGINEERING CONSTRUCTION CO. - SARL</t>
  </si>
  <si>
    <t>ENTREPRISE HYDROFORAGE EAU MINERALE GUINEE LANFIA</t>
  </si>
  <si>
    <t>SOCIETE MAX FORAGE</t>
  </si>
  <si>
    <t>SHAHE GOLDEN DEER TRADING-GUINEA</t>
  </si>
  <si>
    <t>SOCIETE ASIA FORAGE SARL</t>
  </si>
  <si>
    <t>AKITA</t>
  </si>
  <si>
    <t>SOCIETE DE REBOISEMENT DES MINES</t>
  </si>
  <si>
    <t>STE DOLPHIN RESOURCES SARL</t>
  </si>
  <si>
    <t>STE GUINEENNE DE LOGISTIQUE ET DES MINES (GUILOR)</t>
  </si>
  <si>
    <t>STE TAIBA GRANULATS</t>
  </si>
  <si>
    <t>STE GUINEENNE D'EXPLOITATION DE RESSOURCE MINIERE</t>
  </si>
  <si>
    <t>STE TAMOE RENTAL GROUP SARLU</t>
  </si>
  <si>
    <t>STE AFRICAN GUINEE MINERALS (AGM) SARLU</t>
  </si>
  <si>
    <t>STE GUINEE CONSTRUCTION SERVICES SARL</t>
  </si>
  <si>
    <t>STE TAMONY MINING ET SERVICES SARLU</t>
  </si>
  <si>
    <t>STE GUINEENNE DE BUSINESS EQUIPEMENTS ET CONSTRUCTION</t>
  </si>
  <si>
    <t>STE TOUBA SARL</t>
  </si>
  <si>
    <t>STE GUINEE MINING &amp; TP</t>
  </si>
  <si>
    <t>STE CHINA GEO ENGENEERING CORPORATION</t>
  </si>
  <si>
    <t>STE SIGUIRI GOLD GUINEE SA</t>
  </si>
  <si>
    <t>STE MINES AND RAILS CORPORATE SARL</t>
  </si>
  <si>
    <t>SUN FORAGE SARL</t>
  </si>
  <si>
    <t>SOCIETE MAX DRILLERS SARLU</t>
  </si>
  <si>
    <t>BREH MINING CORPORATION</t>
  </si>
  <si>
    <t>STE SWR INTERNATIONAL SA</t>
  </si>
  <si>
    <t>STE DE FORAGE ET DE TRAVAUX PUBLICS</t>
  </si>
  <si>
    <t>STE DAVID DIAMANT SARL</t>
  </si>
  <si>
    <t>STE TROPICALE DE GRANITE</t>
  </si>
  <si>
    <t>STE LARIAND MINING</t>
  </si>
  <si>
    <t>STE GUINEE RESSOURCES MINIERES</t>
  </si>
  <si>
    <t>STE BALLA MOUSSA &amp; FILS SARLU</t>
  </si>
  <si>
    <t>STE CONSOLIDATED MINING CORPORATION (CMC)</t>
  </si>
  <si>
    <t>STE TOUBAL  SA</t>
  </si>
  <si>
    <t>STE COGERI SARL</t>
  </si>
  <si>
    <t>STE SANSADO GOLD FIELD SARLU</t>
  </si>
  <si>
    <t>STE MOLI MINING SARL</t>
  </si>
  <si>
    <t>STE TROPICAL DE GRANITE SARLU</t>
  </si>
  <si>
    <t>STE AFRIC INVESTMENT MINING GUINEE</t>
  </si>
  <si>
    <t>STE FUTURES RESSOURCES SARL</t>
  </si>
  <si>
    <t>STE AWAL GUINEE SARL</t>
  </si>
  <si>
    <t>STE LENGUEE KOTO MINING SARL</t>
  </si>
  <si>
    <t>STE DJOMA MINES SARL</t>
  </si>
  <si>
    <t>STE I D GOLD MINING SA</t>
  </si>
  <si>
    <t>STE WASSOLON MINING</t>
  </si>
  <si>
    <t>STE CASH GUINEE MINING SARLU</t>
  </si>
  <si>
    <t>STE LA GUINEENNE DE LOGISTIQUE ET DES MINES SARL</t>
  </si>
  <si>
    <t>STE BRASS GUINEE MINING</t>
  </si>
  <si>
    <t>STE W W MINING SARL</t>
  </si>
  <si>
    <t>STE GUINEO-MALIENNE GUIMOR SARL</t>
  </si>
  <si>
    <t>STE SOGUIBEC SARL</t>
  </si>
  <si>
    <t>STE BARAKA RESSOURCES GUINEA SAU</t>
  </si>
  <si>
    <t>STE 79 EME LUSSO MANDIANA SARLU</t>
  </si>
  <si>
    <t>STE 79 EME LUSSO NORTH SARLU</t>
  </si>
  <si>
    <t>STE 79 EME LUSSO SOUTH SARLU</t>
  </si>
  <si>
    <t>STE FREEDOM TRADING CO-LTD SARL</t>
  </si>
  <si>
    <t>STE SOMIAG SA</t>
  </si>
  <si>
    <t>STE FANKAMA MINING</t>
  </si>
  <si>
    <t>STE GUINEE INITIATIVES ET DEVELOPPEMENT SARL</t>
  </si>
  <si>
    <t>STE C2M GROUP MINES &amp; ENVIRONNEMENT SARLU</t>
  </si>
  <si>
    <t>STE DARMIL MINING GUINEE SARL</t>
  </si>
  <si>
    <t>STE CARRIERE DE GUINEE SAU</t>
  </si>
  <si>
    <t>STE SIMACO ENGINEERING SARL</t>
  </si>
  <si>
    <t>STE KINDIA MINING COMPANY SARL</t>
  </si>
  <si>
    <t>STE RESOURCES MINING SARL</t>
  </si>
  <si>
    <t>STE GOLD MINING EXPLORATION SARL</t>
  </si>
  <si>
    <t>STE MGC MINERAL RESOURCES SARL</t>
  </si>
  <si>
    <t>STE GUINEENNE D'INGENERIES ET DE PRESTION</t>
  </si>
  <si>
    <t>STE WOULA NATURAL RESOURCES SARL</t>
  </si>
  <si>
    <t>STE C2M GROUP MINES &amp; ENVIRONNEMENT SARL</t>
  </si>
  <si>
    <t>STE KABALABA MINING SARL</t>
  </si>
  <si>
    <t>STE CHINO AFRICA INTERNATIONAL SARL</t>
  </si>
  <si>
    <t>STE TOMBA MINING SARL</t>
  </si>
  <si>
    <t>STE WEST AFRICA TRADING SARL</t>
  </si>
  <si>
    <t>STE TJ MINING CORPORATION SARLU</t>
  </si>
  <si>
    <t>STE KANFING MINING SAS</t>
  </si>
  <si>
    <t>STE GARDIN QIQI SARLU</t>
  </si>
  <si>
    <t>STE TRUSTACO GOLD SARLU</t>
  </si>
  <si>
    <t>STE SRG NICO SARLU</t>
  </si>
  <si>
    <t>STE CAMEN RESSOURCES SARL</t>
  </si>
  <si>
    <t>STE INTERNATIONAL PROVIDER CORPORATION SARL</t>
  </si>
  <si>
    <t>STE SHENG SARLU</t>
  </si>
  <si>
    <t>STE ARGO MINING SARL</t>
  </si>
  <si>
    <t>STE I AM GOLD EXPLORATION MALI-GUINEE SARL</t>
  </si>
  <si>
    <t>STE BAUXITE DABOLA TOUGUE</t>
  </si>
  <si>
    <t>STE LES CARRIERES DE L'EMERGENCE SA</t>
  </si>
  <si>
    <t>STE SAM SARL</t>
  </si>
  <si>
    <t>STE INTERNATIONALE D'EXPLOITATION DE CARRIERE SARL</t>
  </si>
  <si>
    <t>STE WOSSOLO MINING SARL</t>
  </si>
  <si>
    <t>STE PIG MINING GUINEE SARL</t>
  </si>
  <si>
    <t>STE S S MINERAL TRADING SARL</t>
  </si>
  <si>
    <t>STE T CONNET GROUP SARL</t>
  </si>
  <si>
    <t>STE HUAXIN CONSTRUCTION COLTD</t>
  </si>
  <si>
    <t>HUAXIN CONSTRUCTION COLDT</t>
  </si>
  <si>
    <t>STE ETOILE CONSTRUCTION BTP SARL</t>
  </si>
  <si>
    <t>STE HYDROMIN GUINEE</t>
  </si>
  <si>
    <t>STE KOUNADY CONSTRUCTION BATIMENTS &amp; TRAVAUX PUBLICS SA</t>
  </si>
  <si>
    <t>STE MAVCARD BAUXITE SA</t>
  </si>
  <si>
    <t>STE ATS RESSOURCES SARL CONAKRY</t>
  </si>
  <si>
    <t>STE MAKONGO &amp; AFRICAN PARTNERS SARL</t>
  </si>
  <si>
    <t>SOCIETE EXCELLENCE BUSINESS ET TRANSPORT SARLU</t>
  </si>
  <si>
    <t>STE VEP GROUPE SARL</t>
  </si>
  <si>
    <t>STE BUREAU INTERNATIONAL  DE SERVICE SARL</t>
  </si>
  <si>
    <t>SOCIETE DIOTRANS GUINEE SA</t>
  </si>
  <si>
    <t>STE GENERALE FELLA (SOGEFEL) SARL</t>
  </si>
  <si>
    <t>JAMIL EZZEDINE</t>
  </si>
  <si>
    <t>STE LENGUEE KOTO  MINING SARL</t>
  </si>
  <si>
    <t>STE MINERALIS GOLD MINES SARLU</t>
  </si>
  <si>
    <t>STE WEST AFRICAN TITANIUM LTD</t>
  </si>
  <si>
    <t>STE PROMINENT GOLD SARL</t>
  </si>
  <si>
    <t>STE ANGLO GUINEA RESOURCES SARLU</t>
  </si>
  <si>
    <t>STE WOOD PEKER RESOURCES SARLU</t>
  </si>
  <si>
    <t>STE O M S INTERNATIONAL SARL</t>
  </si>
  <si>
    <t>SOCIETE RICARDO FORAGE-SARL</t>
  </si>
  <si>
    <t>SOCIETE SUN SA SD MINING SA</t>
  </si>
  <si>
    <t>West African Forage</t>
  </si>
  <si>
    <t>GUINEE MULTITRADING</t>
  </si>
  <si>
    <t>BIOTOPE SIMANDOU</t>
  </si>
  <si>
    <t>GUINEA WESTFIELD MINING COMPANY</t>
  </si>
  <si>
    <t>STE WEI HENG SARL</t>
  </si>
  <si>
    <t>STE GBANA &amp; FILS</t>
  </si>
  <si>
    <t>STE GUINEE RESSOURCES MINIERES SARL</t>
  </si>
  <si>
    <t>STE DAMAN MINING SARLU</t>
  </si>
  <si>
    <t>ENTREPRISE DE CONSTRUCTION SOUMAILA DIAKITE BTP</t>
  </si>
  <si>
    <t>STE TINKISSO RESOURCES SARL</t>
  </si>
  <si>
    <t>STE A S LOGISTICS SARL</t>
  </si>
  <si>
    <t>STE GUINEENNE D'EXPLOITATION DE GRANITE SARL</t>
  </si>
  <si>
    <t>STE SGRC SARLU</t>
  </si>
  <si>
    <t>STE KOUROUSSA MINING</t>
  </si>
  <si>
    <t>STE ANGLO JAPAN MINING SARLU</t>
  </si>
  <si>
    <t>STE SONIF SARL</t>
  </si>
  <si>
    <t>STE NOBA CONSTRUCTION BTP &amp; PRESTATIONS</t>
  </si>
  <si>
    <t>BUILDING GUINEE</t>
  </si>
  <si>
    <t>STE GEOIDE MULTISERVICES SARL</t>
  </si>
  <si>
    <t>STE MINERGY GUINEA SARLU</t>
  </si>
  <si>
    <t>STE SVOTRAL SARL</t>
  </si>
  <si>
    <t>SIFAYA GUINEE CONSTRUCTION</t>
  </si>
  <si>
    <t>SOCIETE FORACO DIVISION GEOMECHANIK GUINEE - SARL</t>
  </si>
  <si>
    <t>STE NETWORK BYTES SARL</t>
  </si>
  <si>
    <t>STE MINIERE DE COBILY SARL</t>
  </si>
  <si>
    <t>STE S G R C SARL</t>
  </si>
  <si>
    <t>STE AXIS BMG &amp; MINERALS SARLU</t>
  </si>
  <si>
    <t>SOCIETE GS NILE FORAGE SARLU</t>
  </si>
  <si>
    <t>STE AXIS BUSINESS MANAGEMENT GROUP &amp; MINERALS SARLU</t>
  </si>
  <si>
    <t>STE AXIS BUSINESS MANAGEMENT GROUP &amp; MINERALS</t>
  </si>
  <si>
    <t>ELITE MINING GUINEA</t>
  </si>
  <si>
    <t>GUINEA PORT VERGA</t>
  </si>
  <si>
    <t>SOCIETE CAMEN RESSOURCES SARL</t>
  </si>
  <si>
    <t>LINDIAN GUINEA</t>
  </si>
  <si>
    <t>SOCIETE INDO AFRICA FORAGE SARL</t>
  </si>
  <si>
    <t>ZHICHENG GUINEE MINING</t>
  </si>
  <si>
    <t>NA GLOBAL REALTY ET INVESTMENT LTD SUCC</t>
  </si>
  <si>
    <t>LELOUMA BAUXITE GUINEE</t>
  </si>
  <si>
    <t>ENTREPRISE GECINES</t>
  </si>
  <si>
    <t>SOCIETE RIVER NIGER FORAGE GUINEA SARL</t>
  </si>
  <si>
    <t>BOKE MINING SERVICES</t>
  </si>
  <si>
    <t>Taxes sur l'extraction des substances minières autres que les substances précieuses (Bauxite, fer, etc..)</t>
  </si>
  <si>
    <t>Impôt sur les sociétés</t>
  </si>
  <si>
    <t>Taxe sur la Valeur Ajoutée (TVA)</t>
  </si>
  <si>
    <t>Retenue sur les Traitements et Salaires</t>
  </si>
  <si>
    <t>Versement forfaitaire sur les salaires</t>
  </si>
  <si>
    <t>Retenue à la source sur les revenus non salariaux</t>
  </si>
  <si>
    <t>Dividendes</t>
  </si>
  <si>
    <t>Prélèvement Forfaitaire sur les achats locaux</t>
  </si>
  <si>
    <t xml:space="preserve">Taxe sur les substances de carrières </t>
  </si>
  <si>
    <t>Impôt Minimum Forfaitaire (IMF)</t>
  </si>
  <si>
    <t>Amendes et pénalités douanières</t>
  </si>
  <si>
    <t>Redevance Comptoirs d'achat, Acheteur et Collecteur sur la commercialisation du diamant et autres gemmes</t>
  </si>
  <si>
    <t xml:space="preserve">Taxe sur Consommation de bauxite </t>
  </si>
  <si>
    <t>Frais d’instruction des dossiers des titres miniers</t>
  </si>
  <si>
    <t>Impôt sur les Revenus des Capitaux Mobiliers (IRCM)</t>
  </si>
  <si>
    <t>Taxe d'apprentissage</t>
  </si>
  <si>
    <t>Prélèvement Forfaitaire à l’importation</t>
  </si>
  <si>
    <t>Impôt sur le Revenu des Personnes Physiques (précompte / BIC / forfaitaire)</t>
  </si>
  <si>
    <t>Taxe à l’exportation sur la production artisanale de métaux précieux (OR et autres)</t>
  </si>
  <si>
    <t>Taxe sur la Consommation Téléphonique</t>
  </si>
  <si>
    <t>Société (retraitée)</t>
  </si>
  <si>
    <t>Secteur des Mines (Entreprises privées)</t>
  </si>
  <si>
    <t>autres</t>
  </si>
  <si>
    <t>SMB/AMR</t>
  </si>
  <si>
    <t>Secteur des Carrières (Entreprises privées)</t>
  </si>
  <si>
    <t>Secteur des Mines (Entreprises d’Etat)</t>
  </si>
  <si>
    <t>Comptoir d'Or</t>
  </si>
  <si>
    <t>Comptoir de diamant</t>
  </si>
  <si>
    <t>Total général</t>
  </si>
  <si>
    <t>Redevances portuaires</t>
  </si>
  <si>
    <t xml:space="preserve">Cotisations sociales </t>
  </si>
  <si>
    <t>Paiements sociaux obligatoires</t>
  </si>
  <si>
    <t>Paiements sociaux volontaires</t>
  </si>
  <si>
    <t>Droit de commercialisation</t>
  </si>
  <si>
    <t>Droits de suite</t>
  </si>
  <si>
    <t>Redevance de la BCRG sur les expéditions de l’Or</t>
  </si>
  <si>
    <t>Paiements environnementaux</t>
  </si>
  <si>
    <t>Droit d'acquisition des permis miniers</t>
  </si>
  <si>
    <t>Prise en charge des frais généraux communautaires</t>
  </si>
  <si>
    <t xml:space="preserve">Contribution à la formation professionnel et apprentissage </t>
  </si>
  <si>
    <t>Coûts des Accouchements &amp;  Césariennes</t>
  </si>
  <si>
    <t>Loyer terrain</t>
  </si>
  <si>
    <t>Administration concernée</t>
  </si>
  <si>
    <t>Référence FD</t>
  </si>
  <si>
    <t>Flux</t>
  </si>
  <si>
    <t>Minier</t>
  </si>
  <si>
    <t>Pétrolier</t>
  </si>
  <si>
    <r>
      <t>Frais d’instruction des dossiers des titres miniers :</t>
    </r>
    <r>
      <rPr>
        <sz val="8"/>
        <color theme="2" tint="-0.749992370372631"/>
        <rFont val="Arial"/>
        <family val="2"/>
      </rPr>
      <t xml:space="preserve"> La délivrance d'un titre minier est faite contre paiement des frais d'instruction au CPDM. Le montant en fonction du type du titre minier. Article 1 de l’arrêté conjoint A/2016/6074/MEF/MMG/SGG fixant les taux et tarifs des droits fixes, des taxes et redevances résultant de l’octroi, du renouvellement de la prorogation, du transfert et/ou de l’amodiation des titres miniers et autorisations.</t>
    </r>
  </si>
  <si>
    <t>X</t>
  </si>
  <si>
    <t>CPDM</t>
  </si>
  <si>
    <r>
      <t xml:space="preserve">Droits fixes : </t>
    </r>
    <r>
      <rPr>
        <sz val="8"/>
        <color theme="2" tint="-0.749992370372631"/>
        <rFont val="Arial"/>
        <family val="2"/>
      </rPr>
      <t>La délivrance d'un titre minier est faite contre paiement des droits fixes au CPDM. Le montant en fonction du type du titre minier. Article 1 de l’arrêté conjoint A/2016/6074/MEF/MMG/SGG fixant les taux et tarifs des droits fixes, des taxes et redevances résultant de l’octroi, du renouvellement de la prorogation, du transfert et/ou de l’amodiation des titres miniers et autorisations. Le tarif est selon la substance extraite. Article A/2016/6074/MEF/MMG/SGG.</t>
    </r>
  </si>
  <si>
    <t>DGTP</t>
  </si>
  <si>
    <r>
      <t xml:space="preserve">Taxe sur les substances de carrières : </t>
    </r>
    <r>
      <rPr>
        <sz val="8"/>
        <color theme="2" tint="-0.749992370372631"/>
        <rFont val="Arial"/>
        <family val="2"/>
      </rPr>
      <t>L’exploitation et le ramassage des Substances de carrières sont soumis au paiement d’une taxe dont les taux sont fixés par arrêté conjoint du Ministre en charge</t>
    </r>
    <r>
      <rPr>
        <b/>
        <sz val="8"/>
        <color theme="2" tint="-0.749992370372631"/>
        <rFont val="Arial"/>
        <family val="2"/>
      </rPr>
      <t xml:space="preserve"> </t>
    </r>
    <r>
      <rPr>
        <sz val="8"/>
        <color theme="2" tint="-0.749992370372631"/>
        <rFont val="Arial"/>
        <family val="2"/>
      </rPr>
      <t>des Mines et de la Géologie et du Ministre en charge des Finances.</t>
    </r>
  </si>
  <si>
    <r>
      <t xml:space="preserve">Pénalités liées aux infractions minières: </t>
    </r>
    <r>
      <rPr>
        <sz val="8"/>
        <color theme="2" tint="-0.749992370372631"/>
        <rFont val="Arial"/>
        <family val="2"/>
      </rPr>
      <t>il est institué des pénalités lors de la constatation des infractions aux prescriptions du présent Code Minier et des textes pris pour son application sont constatées par les</t>
    </r>
  </si>
  <si>
    <t>Officiers de Police Judiciaire, les Agents assermentés de la Direction Nationale des Mines et tous autres Agents spécialement commis à cet effet selon l'article 204 du Code Minier 2011 amendé.</t>
  </si>
  <si>
    <r>
      <t>Redevance de la BCRG sur les expéditions de l’Or</t>
    </r>
    <r>
      <rPr>
        <sz val="8"/>
        <color theme="2" tint="-0.749992370372631"/>
        <rFont val="Arial"/>
        <family val="2"/>
      </rPr>
      <t xml:space="preserve"> : Toute exportation d'Or est soumise à une redevance de la BCRG. Elle couvre la réception, conservation et transport sécurisé jusqu’à l’aéroport de chaque exportation d’Or. Le Tarif est de 300 GNF par Gramme.</t>
    </r>
  </si>
  <si>
    <r>
      <t xml:space="preserve">Taxe sur la production et l’exportation industrielle et semi-industrielle de métaux précieux (OR et autres) : </t>
    </r>
    <r>
      <rPr>
        <sz val="8"/>
        <color theme="2" tint="-0.749992370372631"/>
        <rFont val="Arial"/>
        <family val="2"/>
      </rPr>
      <t>Tout titulaire d’un Titre d’exploitation minière qui procède à l’extraction de Métaux précieux est redevable d’une taxe d'extraction sur la production industrielle ou semi-industrielle des Métaux précieux et d'une taxe à l'exportation lorsque cette production est destinée à l'exportation selon l'article 161-I du Code Minier et l'article 7 du décret D/2014/013/PRG/SGG relatif à l'application des dispositions financières du Code Minier.</t>
    </r>
  </si>
  <si>
    <t>BCRG / DGD</t>
  </si>
  <si>
    <r>
      <t xml:space="preserve">Taxe à l’exportation sur la production artisanale de métaux précieux (OR et autres) : </t>
    </r>
    <r>
      <rPr>
        <sz val="8"/>
        <color theme="2" tint="-0.749992370372631"/>
        <rFont val="Arial"/>
        <family val="2"/>
      </rPr>
      <t>L’or extrait en Guinée par les titulaires d’une Autorisation d’exploitation artisanale sont soumis à une taxe à l’exportation pour l’or, le taux de cette taxe est de un pour cent (1%), la valeur de référence pour le calcul de cette taxe étant le cours d’achat de l’or par la BCRG selon l'article 164 du Code Minier 2011 et l'article 8 du décret D/2014/013/PRG/SGG relatif à l'application des dispositions financières du Code Minier.</t>
    </r>
  </si>
  <si>
    <t> BCRG / DGD</t>
  </si>
  <si>
    <r>
      <t>Taxe à l’extraction et à l’exportation industrielle et semi industrielle des pierres précieuses (Diamant et autres gemmes)</t>
    </r>
    <r>
      <rPr>
        <sz val="8"/>
        <color theme="2" tint="-0.749992370372631"/>
        <rFont val="Arial"/>
        <family val="2"/>
      </rPr>
      <t xml:space="preserve"> : Tout titulaire d’un Titre d’exploitation minière qui procède à l’extraction des pierres précieuses est redevable d’une taxe sur l’extraction et à une e à l’exportation pour celles qui sont exportées à l’état brut ou taillé selon l'article et 161 et 163-II du Code Minier 2011 et l'article 9 du décret D/2014/013/PRG/SGG relatif à l'application des dispositions financières du Code Minier.</t>
    </r>
  </si>
  <si>
    <t>BNE / DGD </t>
  </si>
  <si>
    <r>
      <t xml:space="preserve">Taxe à l’exportation sur la production artisanale des pierres précieuses (Diamant et autres gemmes) </t>
    </r>
    <r>
      <rPr>
        <sz val="8"/>
        <color theme="2" tint="-0.749992370372631"/>
        <rFont val="Arial"/>
        <family val="2"/>
      </rPr>
      <t>: les pierres précieuses et pierres Gemmes extraits en Guinée par les titulaires d’une Autorisation</t>
    </r>
    <r>
      <rPr>
        <b/>
        <sz val="8"/>
        <color theme="2" tint="-0.749992370372631"/>
        <rFont val="Arial"/>
        <family val="2"/>
      </rPr>
      <t xml:space="preserve"> d’exploitation artisanale sont soumis à une taxe à l’exportation aux taux suivants : (3%) pour une valeur unitaire inférieur à 500 000 USD, telle que fixée par les experts BNE et 5% pour une valeur supérieur à 500 000 USD et ce selon les dispositions de l'article 164 du Code Minier et l'article 10 du décret D/2014/013/PRG/SGG relatif à l'application des dispositions financières du Code Minier.</t>
    </r>
  </si>
  <si>
    <r>
      <t xml:space="preserve">Redevance Comptoirs d'achat, Acheteur et Collecteur sur la commercialisation du diamant et autres gemmes : </t>
    </r>
    <r>
      <rPr>
        <sz val="8"/>
        <color theme="2" tint="-0.749992370372631"/>
        <rFont val="Arial"/>
        <family val="2"/>
      </rPr>
      <t>l'obtention de licence de comptoirs de diamant et autres gemmes est soumise au payement d'une redevance annuelle selon l'article 43 de la Loi de Finances 2011.</t>
    </r>
  </si>
  <si>
    <t>BNE </t>
  </si>
  <si>
    <r>
      <t xml:space="preserve">Redevance Comptoir, Acheteur, Collecteur et Balancier pour la commercialisation de l'Or </t>
    </r>
    <r>
      <rPr>
        <sz val="8"/>
        <color theme="2" tint="-0.749992370372631"/>
        <rFont val="Arial"/>
        <family val="2"/>
      </rPr>
      <t>: l'obtention de licence de comptoirs d'Or est soumise au payement d'une redevance annuelle selon l'article 45 de la Loi de Finances 2011.</t>
    </r>
  </si>
  <si>
    <r>
      <t xml:space="preserve">Impôt sur les sociétés (IS) : </t>
    </r>
    <r>
      <rPr>
        <sz val="8"/>
        <color theme="2" tint="-0.749992370372631"/>
        <rFont val="Arial"/>
        <family val="2"/>
      </rPr>
      <t>Les personnes morales exerçant des activités en Guinée ou y possédant des biens sans y avoir leur siège social sont soumises au paiement de l'impôt sur les sociétés au taux de 35% imposable pour selon les articles 228 et 229 du Code Général des Impôt (CGI). 30% pour les sociétés, titulaires d’un Titre d’exploitation minière selon article 176 du CGI.</t>
    </r>
  </si>
  <si>
    <t>DNI </t>
  </si>
  <si>
    <r>
      <t>Taxe à l’extraction des substances minières: T</t>
    </r>
    <r>
      <rPr>
        <sz val="8"/>
        <color theme="2" tint="-0.749992370372631"/>
        <rFont val="Arial"/>
        <family val="2"/>
      </rPr>
      <t>out titulaire d’un Titre d’exploitation minière qui procède à l’extraction de Substances minières, autres que les substances précieuses, est redevable d’une taxe sur</t>
    </r>
  </si>
  <si>
    <t>l’extraction de ces Substances minières selon l'article 161 du Code Minier et l'article 4 u décret D/2014/013/PRG/SGG relatif à l'application des dispositions financières du Code Minier.</t>
  </si>
  <si>
    <r>
      <t>Retenues à la Source :</t>
    </r>
    <r>
      <rPr>
        <sz val="8"/>
        <color theme="2" tint="-0.749992370372631"/>
        <rFont val="Arial"/>
        <family val="2"/>
      </rPr>
      <t xml:space="preserve"> Les entreprises doivent appliquer des retenues à la source de 10% libératoire de tout autre impôt au titre :</t>
    </r>
  </si>
  <si>
    <t>Des revenus salariaux versés au personnel expatrié au taux de 10% des salaires payés en Guinée et hors Guinée.</t>
  </si>
  <si>
    <t>Des règlements d’honoraires et de prestations des entreprises ou personnes étrangères non établies en République de Guinée.</t>
  </si>
  <si>
    <t>Pour les contrats d’assurance conclus avec les compagnies étrangères non établies en Guinée, ils seront assujettis à la législation en vigueur (Article 187 du Code Général des Impôts).</t>
  </si>
  <si>
    <r>
      <t>Impôt sur le Revenu des Personnes Physiques</t>
    </r>
    <r>
      <rPr>
        <sz val="8"/>
        <color theme="2" tint="-0.749992370372631"/>
        <rFont val="Arial"/>
        <family val="2"/>
      </rPr>
      <t xml:space="preserve"> composé du prélèvement sur le BIC, du prélèvement sur sur les bénéfices non commerciaux, du précompte de 10%, et du précompte de 50% de TVA.</t>
    </r>
  </si>
  <si>
    <r>
      <t xml:space="preserve">Retenues sur les salaires :                                                           
</t>
    </r>
    <r>
      <rPr>
        <sz val="8"/>
        <color theme="2" tint="-0.749992370372631"/>
        <rFont val="Arial"/>
        <family val="2"/>
      </rPr>
      <t>Les traitements salaires, indemnités, émoluments et rémunérations assimilées y compris les primes de toute nature sont imposables. Le montant de la retenue est calculé par application au revenu mensuel imposable au barème par tranche de revenus. Article 51 et 63 du CGI.</t>
    </r>
    <r>
      <rPr>
        <b/>
        <sz val="8"/>
        <color theme="2" tint="-0.749992370372631"/>
        <rFont val="Arial"/>
        <family val="2"/>
      </rPr>
      <t xml:space="preserve">                                                                                                                                                                                                                                                                                                                                                               </t>
    </r>
  </si>
  <si>
    <r>
      <t xml:space="preserve">Versement forfaitaire sur les salaires : </t>
    </r>
    <r>
      <rPr>
        <sz val="8"/>
        <color theme="2" tint="-0.749992370372631"/>
        <rFont val="Arial"/>
        <family val="2"/>
      </rPr>
      <t>Versement mensuel ou trimestriel par les employeurs, au profit du budget national, d’une somme égale à 6% du montant global des traitements, salaires, indemnités et émoluments effectivement payés par eux à l’ensemble du personnel, y compris les avantages en argent et en nature (Article 201 du Code Général des Impôts).</t>
    </r>
  </si>
  <si>
    <r>
      <t>Taxe d'apprentissage :</t>
    </r>
    <r>
      <rPr>
        <sz val="8"/>
        <color theme="2" tint="-0.749992370372631"/>
        <rFont val="Arial"/>
        <family val="2"/>
      </rPr>
      <t xml:space="preserve"> Il est perçu au profit du Budget National une taxe dite d’apprentissage. Cette taxe est due par les personnes physiques Le taux de la taxe est fixé à 3%. Art.204 du CGI.</t>
    </r>
  </si>
  <si>
    <t>DNI</t>
  </si>
  <si>
    <r>
      <t xml:space="preserve">Taxe sur les contrats d'assurance : </t>
    </r>
    <r>
      <rPr>
        <sz val="8"/>
        <color theme="2" tint="-0.749992370372631"/>
        <rFont val="Arial"/>
        <family val="2"/>
      </rPr>
      <t>La taxe est assise sur le montant des sommes stipulées au profit de l’assureur et de tous accessoires dont celui-ci</t>
    </r>
  </si>
  <si>
    <t>bénéficie directement ou indirectement du fait de l’assuré. Le Taux est fixé comme suit : 20% pour les risques de toute nature de navigation maritime, 8% pour les autres risques, Assurances sur la vie et rentes viagères : 5%, 12% pour les assurances contre les risques de toutes natures non visés ci-dessus : (LF1996, art.97).</t>
  </si>
  <si>
    <r>
      <t xml:space="preserve">Retenue à la source sur les loyers :  </t>
    </r>
    <r>
      <rPr>
        <sz val="8"/>
        <color theme="2" tint="-0.749992370372631"/>
        <rFont val="Arial"/>
        <family val="2"/>
      </rPr>
      <t>le montant de la retenue est égal à 15% du montant du loyer brut qui doit être reversé à la caisse du Receveur des Impôts dans les 15 jours du mois suivant le paiement du loyer. La retenue est déduite du loyer versé au propriétaire. Art.270 du CGI.</t>
    </r>
  </si>
  <si>
    <r>
      <t xml:space="preserve">Taxe sur la valeur ajoutée reversée :  </t>
    </r>
    <r>
      <rPr>
        <sz val="8"/>
        <color theme="2" tint="-0.749992370372631"/>
        <rFont val="Arial"/>
        <family val="2"/>
      </rPr>
      <t>Il s’agit de la taxe sur la valeur ajoutée sur les opérations relevant d’une activité économique qui constituent une importation, une livraison de biens ou une prestation de services effectuée sur le territoire de la Guinée sont assujettis à la TVA de 18% Article 373 du CGI.</t>
    </r>
  </si>
  <si>
    <r>
      <t xml:space="preserve">Impôt sur le Patrimoine (CFU) : </t>
    </r>
    <r>
      <rPr>
        <sz val="8"/>
        <color theme="2" tint="-0.749992370372631"/>
        <rFont val="Arial"/>
        <family val="2"/>
      </rPr>
      <t>La Contribution Foncière Unique (CFU) est due par les personnes physiques ou morales possédant des propriétés foncières bâties au 1er Janvier de l’année d’imposition.</t>
    </r>
  </si>
  <si>
    <t>10% de la valeur locative annuelle pour les immeubles occupés par les propriétaires ; 15% de la valeur locative annuelle pour les immeubles à location. Article 265 du CGI (LF1998, art 21)</t>
  </si>
  <si>
    <r>
      <t>Produits d'enregistrement :</t>
    </r>
    <r>
      <rPr>
        <sz val="8"/>
        <color theme="2" tint="-0.749992370372631"/>
        <rFont val="Arial"/>
        <family val="2"/>
      </rPr>
      <t xml:space="preserve"> Il s’agit des Droits de mutation des biens meubles, droits sur les sociétés, droits sur les marchés, des droits de timbres à l’import véhicule et tout autre droit de mutation (Chapitre 1 du titre IV du CGI)</t>
    </r>
  </si>
  <si>
    <r>
      <t xml:space="preserve">Taxe sur téléphone </t>
    </r>
    <r>
      <rPr>
        <sz val="8"/>
        <color theme="2" tint="-0.749992370372631"/>
        <rFont val="Arial"/>
        <family val="2"/>
      </rPr>
      <t>: Il s’agit de la Taxe d'accès au Réseau des Télécommunications et de la Taxe sur Communications Téléphoniques.</t>
    </r>
  </si>
  <si>
    <r>
      <t>Amendes et pénalités fiscales :</t>
    </r>
    <r>
      <rPr>
        <sz val="8"/>
        <color theme="2" tint="-0.749992370372631"/>
        <rFont val="Arial"/>
        <family val="2"/>
      </rPr>
      <t xml:space="preserve"> Amendes et pénalités pour non-respect de la législation fiscale (CGI).</t>
    </r>
  </si>
  <si>
    <r>
      <t>Taxes à l’exportation des substances minières autres que les substances précieuses (Bauxite, fer, etc..) :</t>
    </r>
    <r>
      <rPr>
        <sz val="8"/>
        <color theme="2" tint="-0.749992370372631"/>
        <rFont val="Arial"/>
        <family val="2"/>
      </rPr>
      <t xml:space="preserve"> Selon l'article 163 du Code Minier 2011 Amendé l’exportation des Substances minières est soumise à une taxe dont l'assiette est déterminée en fonction de la teneur, du poids des Substances minières exportées et de l’indice de prix applicable aux Substances minières exportées, le taux applicable :</t>
    </r>
  </si>
  <si>
    <t>- Fer : 2%</t>
  </si>
  <si>
    <t>- Bauxite : 0,075%</t>
  </si>
  <si>
    <t>- Métaux de base (Cuivre, Etain, Nickel, Zinc) : 2%</t>
  </si>
  <si>
    <r>
      <t xml:space="preserve">Autres droits de douanes (Droits, TVA, etc.) : </t>
    </r>
    <r>
      <rPr>
        <sz val="8"/>
        <color theme="2" tint="-0.749992370372631"/>
        <rFont val="Arial"/>
        <family val="2"/>
      </rPr>
      <t>Le Tarif Douanier est composé d’un droit à l’entrée dit Droit Fiscal d’Importation (DFI) et d’un droit à la sortie, ou Droit Fiscal d’Exportation (DFE). Inclut également les Taxes d'enregistrement sur les importations (ces taxes sont définies selon les conventions - taux moyen de 0,5% de la valeur en douane) ainsi que les Redressements douaniers (pénalités) (il s’agit des montants versés par les sociétés minières en cas de constatation d’infractions à la législation douanière en vigueur ou à des redressements douaniers).</t>
    </r>
  </si>
  <si>
    <t>DGD </t>
  </si>
  <si>
    <r>
      <t xml:space="preserve">Amendes et pénalités douanières : </t>
    </r>
    <r>
      <rPr>
        <sz val="8"/>
        <color theme="2" tint="-0.749992370372631"/>
        <rFont val="Arial"/>
        <family val="2"/>
      </rPr>
      <t xml:space="preserve"> Amendes et pénalités pour non respect de la législation douanière (Code des douanes).</t>
    </r>
  </si>
  <si>
    <r>
      <t xml:space="preserve">Taxe Spéciale sur les Produits Miniers (TSPM) : </t>
    </r>
    <r>
      <rPr>
        <sz val="8"/>
        <color theme="2" tint="-0.749992370372631"/>
        <rFont val="Arial"/>
        <family val="2"/>
      </rPr>
      <t>l’extraction des substances minières est soumise au paiement de la Taxe Spéciale sur les Produits Miniers au profit de la DNTCP dont le montant est fixé conventionnellement.</t>
    </r>
  </si>
  <si>
    <t>DNTCP </t>
  </si>
  <si>
    <r>
      <t xml:space="preserve">Dividendes : </t>
    </r>
    <r>
      <rPr>
        <sz val="8"/>
        <color theme="2" tint="-0.749992370372631"/>
        <rFont val="Arial"/>
        <family val="2"/>
      </rPr>
      <t>Les dividendes sont les revenus que l’État perçoit en rémunération de sa participation dans le capital des sociétés minières.</t>
    </r>
  </si>
  <si>
    <t>DNTCP</t>
  </si>
  <si>
    <t>Conformément à l'Article 167 du Code Minier, l’attribution faite par l’État d’un permis d’exploitation ou d'une concession minière donne droit à l’État à des actions d’apport représentant 15% du capital de la société d’exploitation.</t>
  </si>
  <si>
    <r>
      <t>Impôt sur la plus-value sur cession :</t>
    </r>
    <r>
      <rPr>
        <sz val="8"/>
        <color theme="2" tint="-0.749992370372631"/>
        <rFont val="Arial"/>
        <family val="2"/>
      </rPr>
      <t xml:space="preserve"> Impôt versé à la suite d’une cession entre investisseurs, actionnaires et/ou détenteurs de titres miniers (soit sur la plus-value sur cession ; soit suite à l'octroi des autorisations de transfert).</t>
    </r>
  </si>
  <si>
    <t xml:space="preserve">Taxe sur la consommation de bauxite : Taxe frappant la consommation du bauxite brut utilisé dans la transformation en produits finis/semifinis </t>
  </si>
  <si>
    <r>
      <t>Loyers de Infrastructures minières :</t>
    </r>
    <r>
      <rPr>
        <sz val="8"/>
        <color theme="2" tint="-0.749992370372631"/>
        <rFont val="Arial"/>
        <family val="2"/>
      </rPr>
      <t xml:space="preserve"> l'ANAIM/DNTCP reçoit directement les loyers des infrastructures minières (ports, chemin de fer, etc..), ces loyers sont déterminés avec la société d'exploitation minière de façon conventionnelle.</t>
    </r>
  </si>
  <si>
    <t>ANAIM/DNTCP</t>
  </si>
  <si>
    <r>
      <t xml:space="preserve">Fournitures d'infrastructures, accords de troc et remboursement de l'Etat : </t>
    </r>
    <r>
      <rPr>
        <sz val="8"/>
        <color theme="2" tint="-0.749992370372631"/>
        <rFont val="Arial"/>
        <family val="2"/>
      </rPr>
      <t>toute convention de prise en charge par une société minière la fourniture d'infrastructures minières (chemin de fer, ports, etc.) et la contrepartie de l'Etat.</t>
    </r>
  </si>
  <si>
    <r>
      <t xml:space="preserve">Travaux et services vendus par la SOGUIPAMI : </t>
    </r>
    <r>
      <rPr>
        <sz val="8"/>
        <color theme="2" tint="-0.749992370372631"/>
        <rFont val="Arial"/>
        <family val="2"/>
      </rPr>
      <t xml:space="preserve">il s'agit des commissions ou de royalties que le SOGUIPAMIs collecte en contre partie des prestations effectuées pour l'Etat ou pour les sociétés minières </t>
    </r>
  </si>
  <si>
    <r>
      <t xml:space="preserve">Droits de suite : </t>
    </r>
    <r>
      <rPr>
        <sz val="8"/>
        <color theme="2" tint="-0.749992370372631"/>
        <rFont val="Arial"/>
        <family val="2"/>
      </rPr>
      <t xml:space="preserve"> la SOGUIPAMI a conclu des accords de partenariat avec des sociétés extractives. Ces accords donnent lieu à la perception par la SOGUIPAMI de royalties ou droits de suite, dont le taux est fixé dans les contrats de partenariats, la SOGUIPAMI a commencé à percevoir des
royalties (ou droits de suite) sur certains projets à partir de 2017</t>
    </r>
    <r>
      <rPr>
        <b/>
        <sz val="8"/>
        <color theme="2" tint="-0.749992370372631"/>
        <rFont val="Arial"/>
        <family val="2"/>
      </rPr>
      <t>.</t>
    </r>
  </si>
  <si>
    <r>
      <t xml:space="preserve">Royalties / redevances : </t>
    </r>
    <r>
      <rPr>
        <sz val="8"/>
        <color theme="2" tint="-0.749992370372631"/>
        <rFont val="Arial"/>
        <family val="2"/>
      </rPr>
      <t>Les royalties sont négociées avec les sociétés minières en contrepartie de l’appui technique et administratif de la SOGUIPAMI et sont généralement fixées en pourcentage de la valeur de production ou par un
montant fixe pour chaque tonne produite.</t>
    </r>
  </si>
  <si>
    <r>
      <t xml:space="preserve">Produit de cession des droits miniers: </t>
    </r>
    <r>
      <rPr>
        <sz val="8"/>
        <color theme="2" tint="-0.749992370372631"/>
        <rFont val="Arial"/>
        <family val="2"/>
      </rPr>
      <t>Impôt versé à la suite d’une cession entre investisseurs, actionnaires et/ou détenteurs de titres miniers (soit
sur la plus-value sur cession ; soit suite à l'octroi des autorisations de transfert).</t>
    </r>
  </si>
  <si>
    <t>Commission sur commercialisation des minerais issue de l’exercice du droit de préemption (+)</t>
  </si>
  <si>
    <t>Prestations aéorport Siguri</t>
  </si>
  <si>
    <r>
      <t xml:space="preserve">Cotisations sociales : </t>
    </r>
    <r>
      <rPr>
        <sz val="8"/>
        <color theme="2" tint="-0.749992370372631"/>
        <rFont val="Arial"/>
        <family val="2"/>
      </rPr>
      <t>La cotisation à la Caisse Nationale de Sécurité Sociale est instituée par le Code de la Sécurité Sociale. Elle est obligatoire pour tous employeurs et employés soumis au Code du Travail sans aucune distinction.</t>
    </r>
  </si>
  <si>
    <t>CNSS </t>
  </si>
  <si>
    <t>Le taux de cette cotisation est de 23% sur le salaire de base, dont 18% supporté par l’employeur et 5% par l’employé</t>
  </si>
  <si>
    <t>Contribution à la formation professionnel et apprentissage</t>
  </si>
  <si>
    <r>
      <t>Autres paiements significatifs:</t>
    </r>
    <r>
      <rPr>
        <sz val="8"/>
        <color theme="2" tint="-0.749992370372631"/>
        <rFont val="Arial"/>
        <family val="2"/>
      </rPr>
      <t xml:space="preserve"> (&gt;100 KUSD/700 millions de GNF) tout paiement dépassant 700 millions de GNF / 100 KUSD qui n'a pas été couvert par l'étude de cadrage.</t>
    </r>
  </si>
  <si>
    <t>Toutes</t>
  </si>
  <si>
    <r>
      <t>Redevance superficiaire</t>
    </r>
    <r>
      <rPr>
        <sz val="8"/>
        <color theme="2" tint="-0.749992370372631"/>
        <rFont val="Arial"/>
        <family val="2"/>
      </rPr>
      <t xml:space="preserve"> </t>
    </r>
    <r>
      <rPr>
        <b/>
        <sz val="8"/>
        <color theme="2" tint="-0.749992370372631"/>
        <rFont val="Arial"/>
        <family val="2"/>
      </rPr>
      <t>:</t>
    </r>
    <r>
      <rPr>
        <sz val="8"/>
        <color theme="2" tint="-0.749992370372631"/>
        <rFont val="Arial"/>
        <family val="2"/>
      </rPr>
      <t xml:space="preserve"> Tout titulaire d’un Titre minier ou d’une Autorisation d’exploitation de Substances de carrières qui lui donne</t>
    </r>
  </si>
  <si>
    <t>Collectivités </t>
  </si>
  <si>
    <t>le droit de se livrer à des Activités minières ou de carrières, est soumis au paiement annuel d’une redevance superficiaire, conformément au tableau ci-après pour les Substances minières, et à un arrêté conjoint du Ministre en charge des Mines et du Ministre en charge des Finances pour les Substances de carrières. Cette redevance superficiaire est proportionnelle à la superficie décrite dans le Titre minier ou dans</t>
  </si>
  <si>
    <t>l’Autorisation.</t>
  </si>
  <si>
    <r>
      <t xml:space="preserve">Autres paiements infranationaux : </t>
    </r>
    <r>
      <rPr>
        <sz val="8"/>
        <color theme="2" tint="-0.749992370372631"/>
        <rFont val="Arial"/>
        <family val="2"/>
      </rPr>
      <t>tout autre paiement infranational prévu la législation en vigueur et non couvert par l'étude de cadrage.</t>
    </r>
  </si>
  <si>
    <r>
      <t xml:space="preserve">Contribution au développement local :  </t>
    </r>
    <r>
      <rPr>
        <sz val="8"/>
        <color theme="2" tint="-0.749992370372631"/>
        <rFont val="Arial"/>
        <family val="2"/>
      </rPr>
      <t xml:space="preserve">Contribution obligatoire au developppement local prévue dans les conventions minières </t>
    </r>
  </si>
  <si>
    <t xml:space="preserve">Contribution FODEL :Contribution fixée par un pourcentage du chiffre d’affaires réalisé par le titulaire d’un titre minier selon une Convention de Développement Local avec la Communauté locale résidant sur ou à proximité immédiate de son Titre d’exploitation minière. Elle est fixée à :
- 0,5% du chiffre d’affaires de la société réalisé sur le Titre minier de la zone pour les substances minières de catégorie ;
- (1%) pour les autres substances minières.
- Article 130 du Code Minier 2011 Amendé
</t>
  </si>
  <si>
    <r>
      <t xml:space="preserve">Paiements sociaux volontaires : </t>
    </r>
    <r>
      <rPr>
        <sz val="8"/>
        <color theme="2" tint="-0.749992370372631"/>
        <rFont val="Arial"/>
        <family val="2"/>
      </rPr>
      <t>Ces flux concernent l’ensemble des contributions volontaires faites par les sociétés extractives dans le cadre du développement local.</t>
    </r>
  </si>
  <si>
    <r>
      <t>Paiements sociaux obligatoires: L</t>
    </r>
    <r>
      <rPr>
        <sz val="8"/>
        <color theme="2" tint="-0.749992370372631"/>
        <rFont val="Arial"/>
        <family val="2"/>
      </rPr>
      <t>es versements effectués par les sociétés extractives pour le financement de projets d’infrastructures sanitaires, scolaires, routiers, maraîchages et celles d’appui aux actions des communautés locales qui sont prévus dans la convention minière signé avec l'Etat.</t>
    </r>
  </si>
  <si>
    <t> N/A</t>
  </si>
  <si>
    <r>
      <t xml:space="preserve">Dépenses quasifiscales : </t>
    </r>
    <r>
      <rPr>
        <sz val="8"/>
        <color theme="2" tint="-0.749992370372631"/>
        <rFont val="Arial"/>
        <family val="2"/>
      </rPr>
      <t xml:space="preserve"> incluent les accords par le biais desquels les entreprises d'Etat entreprennent des dépenses sociales, telles que les paiements pour des services sociaux, pour des infrastructures publiques, pour des subventions sur les combustibles ou le service de la dette nationale, etc...</t>
    </r>
  </si>
  <si>
    <t>Versements au titre de la réhabilitation de l'environnement : Article 144 du Code Minier</t>
  </si>
  <si>
    <t>Ministère de l’environnement</t>
  </si>
  <si>
    <t xml:space="preserve">Autres taxes et redevances environnementales </t>
  </si>
  <si>
    <r>
      <t>Transferts aux Collectivités locales</t>
    </r>
    <r>
      <rPr>
        <sz val="8"/>
        <color theme="2" tint="-0.749992370372631"/>
        <rFont val="Arial"/>
        <family val="2"/>
      </rPr>
      <t xml:space="preserve"> : transferts au titre droits fixes, la taxe sur l’extraction des substances minières autre que les Métaux précieux, la taxe sur la production industrielle ou semi-industrielle des Métaux précieux, la taxe sur les Substances de carrières, la taxe à l’exportation sur les substances minières autres que sur les substances précieuses et la taxe à l’exportation sur la production artisanale d’or conformément à l'article 165 du Code Minier 2011.</t>
    </r>
  </si>
  <si>
    <t>N/A </t>
  </si>
  <si>
    <r>
      <t>Transferts au Fonds d’Investissement Minier (FMI) :</t>
    </r>
    <r>
      <rPr>
        <sz val="8"/>
        <color theme="2" tint="-0.749992370372631"/>
        <rFont val="Arial"/>
        <family val="2"/>
      </rPr>
      <t xml:space="preserve"> transferts au titre droits fixes, la taxe sur l’extraction des substances minières autre que les Métaux précieux, la taxe sur la production industrielle ou semi-industrielle des Métaux précieux, la taxe sur les Substances de carrières, la taxe à l’exportation sur les substances minières autres que sur les substances précieuses et la taxe à l’exportation sur la production artisanale d’or conformément à l'article 165 du Code Minier 2011.</t>
    </r>
  </si>
  <si>
    <r>
      <t>Transferts au profit du Bureau National d’Expertise (BNE)</t>
    </r>
    <r>
      <rPr>
        <sz val="8"/>
        <color theme="2" tint="-0.749992370372631"/>
        <rFont val="Arial"/>
        <family val="2"/>
      </rPr>
      <t xml:space="preserve"> au titre de la taxe à l’exportation sur la production artisanale, industrielle et semi-industrielle de Pierres précieuses et Pierres Gemmes conformément à l'article 165 du Code Minier. </t>
    </r>
  </si>
  <si>
    <t>Transferts ANAIM au FIM au titre de la quote-part des loyers reçus de la CBG (L’arrêté conjoint n° 3057/MMG/MAF/CAB/SGG/2004)</t>
  </si>
  <si>
    <t>NA</t>
  </si>
  <si>
    <r>
      <t>Autres transferts</t>
    </r>
    <r>
      <rPr>
        <sz val="8"/>
        <color theme="2" tint="-0.749992370372631"/>
        <rFont val="Arial"/>
        <family val="2"/>
      </rPr>
      <t xml:space="preserve"> : tout autre transfert non couvert par l'étude de cadrage.</t>
    </r>
  </si>
  <si>
    <t>Collectivités locales</t>
  </si>
  <si>
    <t>Population en 2021</t>
  </si>
  <si>
    <t xml:space="preserve">Dotation annuelle d'investissement </t>
  </si>
  <si>
    <t>Répartition de la dotation totale par catégorie</t>
  </si>
  <si>
    <t>Dotation de base</t>
  </si>
  <si>
    <t>Dotation en fonction de la taille de la population</t>
  </si>
  <si>
    <t xml:space="preserve">Dotation totale </t>
  </si>
  <si>
    <t>Coût total du PAI</t>
  </si>
  <si>
    <t>Coût de prestation annuelle de l'ADL</t>
  </si>
  <si>
    <t>Région de Boké</t>
  </si>
  <si>
    <t>Préfecture de Boffa</t>
  </si>
  <si>
    <t>Boffa-centre</t>
  </si>
  <si>
    <t>Colia</t>
  </si>
  <si>
    <t>Doupro</t>
  </si>
  <si>
    <t>Koba-tatema</t>
  </si>
  <si>
    <t>Lisso</t>
  </si>
  <si>
    <t>Mankountan</t>
  </si>
  <si>
    <t>Tamita</t>
  </si>
  <si>
    <t>Tougnifili</t>
  </si>
  <si>
    <t>Préfecture de Boké</t>
  </si>
  <si>
    <t>Bintimodiya</t>
  </si>
  <si>
    <t>Boke-Centre</t>
  </si>
  <si>
    <t>Dabiss</t>
  </si>
  <si>
    <t>Kamsar</t>
  </si>
  <si>
    <t>Kanfarande</t>
  </si>
  <si>
    <t>Kolaboui</t>
  </si>
  <si>
    <t>Malapouyah</t>
  </si>
  <si>
    <t>Sangaredi</t>
  </si>
  <si>
    <t>Sansale</t>
  </si>
  <si>
    <t>Tanene</t>
  </si>
  <si>
    <t>Préfecture de Fria</t>
  </si>
  <si>
    <t>Baguinet</t>
  </si>
  <si>
    <t>Banguingny</t>
  </si>
  <si>
    <t>Fria-Centre</t>
  </si>
  <si>
    <t>Tormelin</t>
  </si>
  <si>
    <t>Préfecture de Gaoual</t>
  </si>
  <si>
    <t>Foulamory</t>
  </si>
  <si>
    <t>Gaoual-Centre</t>
  </si>
  <si>
    <t>Kakony</t>
  </si>
  <si>
    <t>Koumbia</t>
  </si>
  <si>
    <t>Kounsitel</t>
  </si>
  <si>
    <t>Malanta</t>
  </si>
  <si>
    <t>Touba</t>
  </si>
  <si>
    <t>Wendou M'bour</t>
  </si>
  <si>
    <t>Préfecture de Koundara</t>
  </si>
  <si>
    <t>Guingan</t>
  </si>
  <si>
    <t>Kamaby</t>
  </si>
  <si>
    <t>Koundara-Centre</t>
  </si>
  <si>
    <t>Sambailo</t>
  </si>
  <si>
    <t>Sareboido</t>
  </si>
  <si>
    <t>Termesse</t>
  </si>
  <si>
    <t>Youkounkoun</t>
  </si>
  <si>
    <t>Région de Faranah</t>
  </si>
  <si>
    <t>Préfecture Dabola</t>
  </si>
  <si>
    <t>Arfamous-saya</t>
  </si>
  <si>
    <t>Banko</t>
  </si>
  <si>
    <t>Bissikrima</t>
  </si>
  <si>
    <t>Dabola-centre</t>
  </si>
  <si>
    <t>Dogomet</t>
  </si>
  <si>
    <t>Kankama</t>
  </si>
  <si>
    <t>Kindoye</t>
  </si>
  <si>
    <t>Konindou</t>
  </si>
  <si>
    <t>N'Dema</t>
  </si>
  <si>
    <t>Préfecture de Dinguiraye</t>
  </si>
  <si>
    <t>Banora</t>
  </si>
  <si>
    <t>Dialakoro</t>
  </si>
  <si>
    <t>Diatifere</t>
  </si>
  <si>
    <t>Dinguiraye-centre</t>
  </si>
  <si>
    <t>Gagnakali</t>
  </si>
  <si>
    <t>Kalinko</t>
  </si>
  <si>
    <t>Lansanya</t>
  </si>
  <si>
    <t>Selouma</t>
  </si>
  <si>
    <t>Préfecture de Faranah</t>
  </si>
  <si>
    <t>Banian</t>
  </si>
  <si>
    <t>Beindou</t>
  </si>
  <si>
    <t>Faranah-centre</t>
  </si>
  <si>
    <t>Gnaleah</t>
  </si>
  <si>
    <t>Heremako-non</t>
  </si>
  <si>
    <t>Kobikoro</t>
  </si>
  <si>
    <t>Maréla</t>
  </si>
  <si>
    <t>Passayah</t>
  </si>
  <si>
    <t>Sandeniah</t>
  </si>
  <si>
    <t>Songoyah</t>
  </si>
  <si>
    <t>Tindo</t>
  </si>
  <si>
    <t>Tiro</t>
  </si>
  <si>
    <t>Préfecture Kissidougou</t>
  </si>
  <si>
    <t>Albadariah</t>
  </si>
  <si>
    <t>Banama</t>
  </si>
  <si>
    <t>Bardou</t>
  </si>
  <si>
    <t>Fermesadou</t>
  </si>
  <si>
    <t>Firawa (Yomadou)</t>
  </si>
  <si>
    <t>Gbangbadou</t>
  </si>
  <si>
    <t>Kissidougou Centre</t>
  </si>
  <si>
    <t>Koundiatou</t>
  </si>
  <si>
    <t>Manfran</t>
  </si>
  <si>
    <t>Sangardo</t>
  </si>
  <si>
    <t>Yende-Millimou</t>
  </si>
  <si>
    <t>Yombiro</t>
  </si>
  <si>
    <t>Région de Kankan</t>
  </si>
  <si>
    <t>Préfecture de Kankan</t>
  </si>
  <si>
    <t>Balandougou</t>
  </si>
  <si>
    <t>Bate-nafadji</t>
  </si>
  <si>
    <t>Boula</t>
  </si>
  <si>
    <t>Gberedou-Baranama</t>
  </si>
  <si>
    <t>Kankan-centre</t>
  </si>
  <si>
    <t>Karifamoriyah</t>
  </si>
  <si>
    <t>Mamourou-dou</t>
  </si>
  <si>
    <t>Missamana</t>
  </si>
  <si>
    <t>Moribayah</t>
  </si>
  <si>
    <t>Sabadou-Baranama</t>
  </si>
  <si>
    <t>Tinti-Oulen</t>
  </si>
  <si>
    <t>Tokounou</t>
  </si>
  <si>
    <t>Préfecture de Kérouané</t>
  </si>
  <si>
    <t>Banankoro</t>
  </si>
  <si>
    <t>Damaro</t>
  </si>
  <si>
    <t>Kereouane centre</t>
  </si>
  <si>
    <t>Komodou</t>
  </si>
  <si>
    <t>Kounsankoro</t>
  </si>
  <si>
    <t>Linko</t>
  </si>
  <si>
    <t>Sibiribaro</t>
  </si>
  <si>
    <t>Soromaya</t>
  </si>
  <si>
    <t>Préfecture de Kouroussa</t>
  </si>
  <si>
    <t>Babila</t>
  </si>
  <si>
    <t>Balato</t>
  </si>
  <si>
    <t>Banfele</t>
  </si>
  <si>
    <t>Baro</t>
  </si>
  <si>
    <t>Cissela</t>
  </si>
  <si>
    <t>Douako</t>
  </si>
  <si>
    <t>Doura</t>
  </si>
  <si>
    <t>Kiniero</t>
  </si>
  <si>
    <t>Komola-Koura</t>
  </si>
  <si>
    <t>Koumana</t>
  </si>
  <si>
    <t>Kouroussa centre</t>
  </si>
  <si>
    <t>Sanguiana</t>
  </si>
  <si>
    <t>Préfecture de Mandiana</t>
  </si>
  <si>
    <t>Balandougouba</t>
  </si>
  <si>
    <t>Faralako</t>
  </si>
  <si>
    <t>Kantoumani-na</t>
  </si>
  <si>
    <t>Kinieran</t>
  </si>
  <si>
    <t>Kondianakoro</t>
  </si>
  <si>
    <t>Koundian</t>
  </si>
  <si>
    <t>Mandiana-centre</t>
  </si>
  <si>
    <t>Morodou</t>
  </si>
  <si>
    <t>Niantania</t>
  </si>
  <si>
    <t>Saladou</t>
  </si>
  <si>
    <t>Sansando</t>
  </si>
  <si>
    <t>Préfecture de Siguiri</t>
  </si>
  <si>
    <t>Bankon</t>
  </si>
  <si>
    <t>Franwalia</t>
  </si>
  <si>
    <t>Kiniebakoura</t>
  </si>
  <si>
    <t>Kintinian</t>
  </si>
  <si>
    <t>Malea</t>
  </si>
  <si>
    <t>Naboun</t>
  </si>
  <si>
    <t>Niagassola</t>
  </si>
  <si>
    <t>Niandankoro</t>
  </si>
  <si>
    <t>Norassoba</t>
  </si>
  <si>
    <t>Nounkounkan</t>
  </si>
  <si>
    <t>Siguiri-centre</t>
  </si>
  <si>
    <t>Siguirini</t>
  </si>
  <si>
    <t>Région de Kindia</t>
  </si>
  <si>
    <t>Préfecture de Télémélé</t>
  </si>
  <si>
    <t>Bourouwal</t>
  </si>
  <si>
    <t>Daramagnaky</t>
  </si>
  <si>
    <t>Gougoudje</t>
  </si>
  <si>
    <t>Koba</t>
  </si>
  <si>
    <t>Kollet</t>
  </si>
  <si>
    <t>Konsotamy</t>
  </si>
  <si>
    <t>Missira</t>
  </si>
  <si>
    <t>Santou</t>
  </si>
  <si>
    <t>Sarekaly</t>
  </si>
  <si>
    <t>Sinta</t>
  </si>
  <si>
    <t>Sogolon</t>
  </si>
  <si>
    <t>Tarihoye</t>
  </si>
  <si>
    <t>Telimele centre</t>
  </si>
  <si>
    <t>Thionthian</t>
  </si>
  <si>
    <t>Préfecture de Dubréka</t>
  </si>
  <si>
    <t>Badi</t>
  </si>
  <si>
    <t>Dubreka-centre</t>
  </si>
  <si>
    <t>Falessade</t>
  </si>
  <si>
    <t>Khorira</t>
  </si>
  <si>
    <t>Ouassou</t>
  </si>
  <si>
    <t>Tondon</t>
  </si>
  <si>
    <t>Préfecture de Kindia</t>
  </si>
  <si>
    <t>Bangouyah</t>
  </si>
  <si>
    <t>Damanka-nyah</t>
  </si>
  <si>
    <t>Friguiagbe</t>
  </si>
  <si>
    <t>Kindia centre</t>
  </si>
  <si>
    <t>Kolente</t>
  </si>
  <si>
    <t>Madina Oula</t>
  </si>
  <si>
    <t>Mambiya</t>
  </si>
  <si>
    <t>Molota</t>
  </si>
  <si>
    <t>Samayah</t>
  </si>
  <si>
    <t>Sougueta</t>
  </si>
  <si>
    <t>Préfecture de Forécariah</t>
  </si>
  <si>
    <t>Alassoya</t>
  </si>
  <si>
    <t xml:space="preserve"> Benty</t>
  </si>
  <si>
    <t xml:space="preserve"> Farmoriah</t>
  </si>
  <si>
    <t>Forecareah Centre</t>
  </si>
  <si>
    <t xml:space="preserve"> Kaback</t>
  </si>
  <si>
    <t xml:space="preserve"> Kakossa</t>
  </si>
  <si>
    <t xml:space="preserve"> Kallia</t>
  </si>
  <si>
    <t xml:space="preserve"> Maferenya</t>
  </si>
  <si>
    <t>Moussaya</t>
  </si>
  <si>
    <t>Sikhourou</t>
  </si>
  <si>
    <t>Préfecture de Coyah</t>
  </si>
  <si>
    <t>Coyah centre</t>
  </si>
  <si>
    <t>Kouriya</t>
  </si>
  <si>
    <t xml:space="preserve"> Maneah</t>
  </si>
  <si>
    <t>Wonkifong</t>
  </si>
  <si>
    <t>Région de Labé</t>
  </si>
  <si>
    <t>Préfecture de Mali</t>
  </si>
  <si>
    <t>Balaki</t>
  </si>
  <si>
    <t>Donghol Sigon</t>
  </si>
  <si>
    <t>Dougountou-ny</t>
  </si>
  <si>
    <t>Fougou</t>
  </si>
  <si>
    <t>Gayah</t>
  </si>
  <si>
    <t>Hidayatou</t>
  </si>
  <si>
    <t>Lebekere</t>
  </si>
  <si>
    <t>Madina Wora</t>
  </si>
  <si>
    <t>Mali centre</t>
  </si>
  <si>
    <t>Salambande</t>
  </si>
  <si>
    <t>Telire</t>
  </si>
  <si>
    <t>Yembereng</t>
  </si>
  <si>
    <t>Préfecture de Labé</t>
  </si>
  <si>
    <t>Dalein</t>
  </si>
  <si>
    <t>Daralabe</t>
  </si>
  <si>
    <t>Diari</t>
  </si>
  <si>
    <t>Dionfo</t>
  </si>
  <si>
    <t>Garambe</t>
  </si>
  <si>
    <t>Hafia</t>
  </si>
  <si>
    <t>Kaalan</t>
  </si>
  <si>
    <t>Kouramangui</t>
  </si>
  <si>
    <t>Labé centre</t>
  </si>
  <si>
    <t>Noussy</t>
  </si>
  <si>
    <t>Popodara</t>
  </si>
  <si>
    <t>Sannoun</t>
  </si>
  <si>
    <t>Tountouroun</t>
  </si>
  <si>
    <t>Préfecture de Lélouma</t>
  </si>
  <si>
    <t>Balaya</t>
  </si>
  <si>
    <t>Djountou</t>
  </si>
  <si>
    <t>Herico</t>
  </si>
  <si>
    <t>Korbe</t>
  </si>
  <si>
    <t>Lafou</t>
  </si>
  <si>
    <t>Lelouma centre</t>
  </si>
  <si>
    <t>Linsansaran</t>
  </si>
  <si>
    <t>Manda</t>
  </si>
  <si>
    <t>Parawol</t>
  </si>
  <si>
    <t>Sagale</t>
  </si>
  <si>
    <t>Tyanguel-Bori</t>
  </si>
  <si>
    <t>Préfecture de Tougué</t>
  </si>
  <si>
    <t>Fatako</t>
  </si>
  <si>
    <t>Fello Koundoua</t>
  </si>
  <si>
    <t>Kansangui</t>
  </si>
  <si>
    <t>Kolangui</t>
  </si>
  <si>
    <t>Konah</t>
  </si>
  <si>
    <t>Kouratongo</t>
  </si>
  <si>
    <t>Koyin</t>
  </si>
  <si>
    <t>Tangaly</t>
  </si>
  <si>
    <t>Tougue centre</t>
  </si>
  <si>
    <t>Préfecture de Koubia</t>
  </si>
  <si>
    <t>Fafaya</t>
  </si>
  <si>
    <t>Gadha Woundou</t>
  </si>
  <si>
    <t>Koubia centre</t>
  </si>
  <si>
    <t>Matakaou</t>
  </si>
  <si>
    <t>Pilimini</t>
  </si>
  <si>
    <t>Région de Mamou</t>
  </si>
  <si>
    <t>Préfecture de Pita</t>
  </si>
  <si>
    <t>Bantignel</t>
  </si>
  <si>
    <t>Bourouwal Tappe</t>
  </si>
  <si>
    <t>Dongol Touma</t>
  </si>
  <si>
    <t>Gongore</t>
  </si>
  <si>
    <t>Ley-Miro</t>
  </si>
  <si>
    <t>Maci</t>
  </si>
  <si>
    <t>Ninguelande</t>
  </si>
  <si>
    <t>Pita centre</t>
  </si>
  <si>
    <t>Sangareah</t>
  </si>
  <si>
    <t>Sintaly</t>
  </si>
  <si>
    <t>Timbi-Madina</t>
  </si>
  <si>
    <t>Timbi-Touny</t>
  </si>
  <si>
    <t>Préfecture de Mamou</t>
  </si>
  <si>
    <t>Bouliwel</t>
  </si>
  <si>
    <t>Dounet</t>
  </si>
  <si>
    <t>Gongoret</t>
  </si>
  <si>
    <t>Kegneko</t>
  </si>
  <si>
    <t>Konkoure</t>
  </si>
  <si>
    <t>Mamou centre</t>
  </si>
  <si>
    <t>Nyagara</t>
  </si>
  <si>
    <t>Oure Kaba</t>
  </si>
  <si>
    <t>Poredaka</t>
  </si>
  <si>
    <t>Saramous-saya</t>
  </si>
  <si>
    <t>Soyah</t>
  </si>
  <si>
    <t>Teguereya</t>
  </si>
  <si>
    <t>Timbo</t>
  </si>
  <si>
    <t>Tolo</t>
  </si>
  <si>
    <t>Préfecture de Dalaba</t>
  </si>
  <si>
    <t>Bodié</t>
  </si>
  <si>
    <t>Dalaba centre</t>
  </si>
  <si>
    <t>Ditinn</t>
  </si>
  <si>
    <t>Kankalabe</t>
  </si>
  <si>
    <t>Kebali</t>
  </si>
  <si>
    <t>Mafara</t>
  </si>
  <si>
    <t>Mitty</t>
  </si>
  <si>
    <t>Mombeyah</t>
  </si>
  <si>
    <t>Région de N'Zérékoré</t>
  </si>
  <si>
    <t>Préfecture de Yomou</t>
  </si>
  <si>
    <t>Banié</t>
  </si>
  <si>
    <t>Bheta</t>
  </si>
  <si>
    <t>Bignamou</t>
  </si>
  <si>
    <t>Bowé</t>
  </si>
  <si>
    <t>Diécké</t>
  </si>
  <si>
    <t>Péla</t>
  </si>
  <si>
    <t>Yomou centre</t>
  </si>
  <si>
    <t>Préfecture de Lola</t>
  </si>
  <si>
    <t>Bossou</t>
  </si>
  <si>
    <t>Foumbadou</t>
  </si>
  <si>
    <t>Gama Berema</t>
  </si>
  <si>
    <t>Guéassou</t>
  </si>
  <si>
    <t>Kokota</t>
  </si>
  <si>
    <t>Laine</t>
  </si>
  <si>
    <t>Lola centre</t>
  </si>
  <si>
    <t>N'Zoo</t>
  </si>
  <si>
    <t>Tounkarata</t>
  </si>
  <si>
    <t>Préfecture de Beyla</t>
  </si>
  <si>
    <t>Beyla centre</t>
  </si>
  <si>
    <t>Boola</t>
  </si>
  <si>
    <t>Diarraguerela</t>
  </si>
  <si>
    <t>Diassadou</t>
  </si>
  <si>
    <t>Fouala</t>
  </si>
  <si>
    <t>Gbackédou</t>
  </si>
  <si>
    <t>Gbéssoba</t>
  </si>
  <si>
    <t>Karala</t>
  </si>
  <si>
    <t>Koumandou</t>
  </si>
  <si>
    <t>Mousadou</t>
  </si>
  <si>
    <t>Nionsomo-ridou</t>
  </si>
  <si>
    <t>Samana</t>
  </si>
  <si>
    <t>Sinko</t>
  </si>
  <si>
    <t>Sokourala</t>
  </si>
  <si>
    <t>Préfecture de N'Zérékoré</t>
  </si>
  <si>
    <t>Bounouma</t>
  </si>
  <si>
    <t>Gouécké</t>
  </si>
  <si>
    <t>Kobéla</t>
  </si>
  <si>
    <t>Koropara</t>
  </si>
  <si>
    <t>Koulé</t>
  </si>
  <si>
    <t>N'Zérékoré centre</t>
  </si>
  <si>
    <t>Palé</t>
  </si>
  <si>
    <t>Samoé</t>
  </si>
  <si>
    <t>Soulouma</t>
  </si>
  <si>
    <t>Womey</t>
  </si>
  <si>
    <t>Yalenzou</t>
  </si>
  <si>
    <t>Préfecture de Macenta</t>
  </si>
  <si>
    <t>Balizia</t>
  </si>
  <si>
    <t>Binikala</t>
  </si>
  <si>
    <t>Bofossou</t>
  </si>
  <si>
    <t>Daro</t>
  </si>
  <si>
    <t>Fassankoni</t>
  </si>
  <si>
    <t>Kouankan</t>
  </si>
  <si>
    <t>Koyama</t>
  </si>
  <si>
    <t>Macenta centre</t>
  </si>
  <si>
    <t>N'Zébéla</t>
  </si>
  <si>
    <t>Orémaï</t>
  </si>
  <si>
    <t>Panziazou</t>
  </si>
  <si>
    <t>Semgbédou</t>
  </si>
  <si>
    <t>Sérédou</t>
  </si>
  <si>
    <t>Vasérédou</t>
  </si>
  <si>
    <t>Watanka</t>
  </si>
  <si>
    <t>Préfecture de Guéckédou</t>
  </si>
  <si>
    <t>Bolodou</t>
  </si>
  <si>
    <t>Fangamadou</t>
  </si>
  <si>
    <t>Guéckédou centre</t>
  </si>
  <si>
    <t>Guéndembou</t>
  </si>
  <si>
    <t>Kassadou</t>
  </si>
  <si>
    <t>Koundou</t>
  </si>
  <si>
    <t>Nongoa</t>
  </si>
  <si>
    <t>Ouendé Kénéma</t>
  </si>
  <si>
    <t>Tékoulo</t>
  </si>
  <si>
    <t>Terméssadou Djibo</t>
  </si>
  <si>
    <t>Prévision FNDL (15% des revenus miniers)</t>
  </si>
  <si>
    <t>Accompagnement des communes (10%)</t>
  </si>
  <si>
    <t>Dotation d'investissement (GNF)</t>
  </si>
  <si>
    <t>Population totale 2021</t>
  </si>
  <si>
    <t>Montant par habitant (en GNF)</t>
  </si>
  <si>
    <t>Part à répartir/habitant</t>
  </si>
  <si>
    <t>Dotation d'investissement (90%)</t>
  </si>
  <si>
    <t>Accompagnement des CL (10%)</t>
  </si>
  <si>
    <t>Total BAS 2021 (GNF)</t>
  </si>
  <si>
    <t>Annexe 18 – L’état détaillé  des contrats miniers publiés</t>
  </si>
  <si>
    <t xml:space="preserve"> Document URL</t>
  </si>
  <si>
    <t>Association</t>
  </si>
  <si>
    <t>Contract Name</t>
  </si>
  <si>
    <t>PDF URL</t>
  </si>
  <si>
    <t>Language</t>
  </si>
  <si>
    <t>Ressource</t>
  </si>
  <si>
    <t>Type du contrat</t>
  </si>
  <si>
    <t>Type de document</t>
  </si>
  <si>
    <t>Government Entity</t>
  </si>
  <si>
    <t>Company Name</t>
  </si>
  <si>
    <t xml:space="preserve">https://www.contratsminiersguinee.org/contract/ocds-591adf-9254500989/view </t>
  </si>
  <si>
    <t>Main</t>
  </si>
  <si>
    <t>Winning Consortium Simandou SAU, Exploitation License, 2020</t>
  </si>
  <si>
    <t>https://resourcecontracts-nrgi.s3.us-west-2.amazonaws.com/4822/4822-winning-consortium-sau-lexploitation-du-minerai-de-fer-des-blocs-1-2-du-simandou-convention-de-base-2020.pdf</t>
  </si>
  <si>
    <t>Français</t>
  </si>
  <si>
    <t>Iron Ore</t>
  </si>
  <si>
    <t>Exploitation Permit/License</t>
  </si>
  <si>
    <t>2020-06-09</t>
  </si>
  <si>
    <t>2020</t>
  </si>
  <si>
    <t>Company-State Contract</t>
  </si>
  <si>
    <t>ministere des mines et de la geologie ministere de leconomie et des finances</t>
  </si>
  <si>
    <t>Winning Consortium Simandou SAU</t>
  </si>
  <si>
    <t>https://www.contratsminiersguinee.org/contract/ocds-591adf-0641239644/view</t>
  </si>
  <si>
    <t>Supporting</t>
  </si>
  <si>
    <t>Winning Consortium Simandou SAU, Port Infrastructure Agreement, 2020</t>
  </si>
  <si>
    <t>https://resourcecontracts-nrgi.s3.us-west-2.amazonaws.com/4820/4820-winning-consortium-simandou-sau-levacuation-du-minerai-de-fer-des-blocs-1-2-du-simandou-convention-relative-aux-infrastructres-portuaires-2020.pdf</t>
  </si>
  <si>
    <t>Other</t>
  </si>
  <si>
    <t>2020-10-19</t>
  </si>
  <si>
    <t>https://www.contratsminiersguinee.org/contract/ocds-591adf-5043080054/view</t>
  </si>
  <si>
    <t>Winning Consortium Simandou SAU, Railway Infrastructure Agreement, 2020</t>
  </si>
  <si>
    <t>https://resourcecontracts-nrgi.s3.us-west-2.amazonaws.com/4819/4819-winning-consortium-simandou-sau-levacuation-du-minerai-de-fer-des-blocs-1-2-du-simandou-convention-relative-aux-infrastructres-ferroviaires-2020.pdf</t>
  </si>
  <si>
    <t>2020-11-12</t>
  </si>
  <si>
    <t>https://www.contratsminiersguinee.org/contract/ocds-591adf-6177258678/view</t>
  </si>
  <si>
    <t>SMFG, Euronimba Ltd., Concession, 2019</t>
  </si>
  <si>
    <t>https://resourcecontracts-nrgi.s3.us-west-2.amazonaws.com/4817/4817-smfg-euronimba-pour-lexploitation-des-gisements-de-fer-des-monts-nimba-convention-de-concession-miniere-amendee-et-consolidee-2019.pdf</t>
  </si>
  <si>
    <t>Iron</t>
  </si>
  <si>
    <t>Concession Agreement</t>
  </si>
  <si>
    <t>2019-09-18</t>
  </si>
  <si>
    <t>2019</t>
  </si>
  <si>
    <t>ministere des mines et de la geologie</t>
  </si>
  <si>
    <t>Euronimba Ltd.;Société des Mines de Fer de Guinée</t>
  </si>
  <si>
    <t>https://www.contratsminiersguinee.org/contract/ocds-591adf-2995983040/view</t>
  </si>
  <si>
    <t>Raffinerie Alumine, Winning Consortium Alumina PTE.LTD, Winning Consortium Alumina Guinea S.A, Convention pour Construction et Exploitation, 2018</t>
  </si>
  <si>
    <t>https://resourcecontracts-nrgi.s3-us-west-2.amazonaws.com/3599/3599-winning-consortium-alumina-pteltd-winning-consortium-alumina-guinea-sa-exploration-permitlicense-2018.pdf</t>
  </si>
  <si>
    <t>Alumina</t>
  </si>
  <si>
    <t>2018-11-26</t>
  </si>
  <si>
    <t>2018</t>
  </si>
  <si>
    <t>Ministère des Mines et de la Géologie, Ministère du Budget</t>
  </si>
  <si>
    <t>Winning Consortium Alumina PTE.LTD;Winning Consortium Alumina Guinea S.A</t>
  </si>
  <si>
    <t>https://www.contratsminiersguinee.org/contract/ocds-591adf-8055683009/view</t>
  </si>
  <si>
    <t>Santou II-Houda, Société Minière de Boké, Concession Agreement, 2018</t>
  </si>
  <si>
    <t>https://resourcecontracts-nrgi.s3-us-west-2.amazonaws.com/3597/3597-societe-miniere-de-boke-exploration-permitlicense-2018.pdf</t>
  </si>
  <si>
    <t>Société Minière de Boké</t>
  </si>
  <si>
    <t>https://www.contratsminiersguinee.org/contract/ocds-591adf-2095504636/view</t>
  </si>
  <si>
    <t>Santou II-Houda, Winning Consortium Alumina PTE.LTD, Winning Consortium Alumina Guinea S.A, Société Minière de Boké, Convention Ferroviaire, 2018</t>
  </si>
  <si>
    <t>https://resourcecontracts-nrgi.s3-us-west-2.amazonaws.com/3600/3600-societe-miniere-de-boke-winning-consortium-alumina-pteltdwinning-consortium-alumina-guinea-sa-convention-ferroviaire-de-santo-ii-et-de-houda-2018.pdf</t>
  </si>
  <si>
    <t>Société Minière de Boké;Winning Consortium Alumina PTE.LTD,;Winning Consortium Alumina Guinea S.A</t>
  </si>
  <si>
    <t>https://www.contratsminiersguinee.org/contract/ocds-591adf-4998313193/view</t>
  </si>
  <si>
    <t>Dynamic Mining, International Gulf ZFC, Exploitation Permit/License, 2018</t>
  </si>
  <si>
    <t>https://resourcecontracts-nrgi.s3-us-west-2.amazonaws.com/2870/2870-dynamic-mining-international-gulf-zfc-exploitation-permitlicense-2018.pdf</t>
  </si>
  <si>
    <t>2018-01-01</t>
  </si>
  <si>
    <t>Dynamic Mining;International Gulf ZFC</t>
  </si>
  <si>
    <t>https://www.contratsminiersguinee.org/contract/ocds-591adf-5699672631/view</t>
  </si>
  <si>
    <t>Chalco Guinea Company S.A, Société Portuaire, Chalco Hong Kong Limited, Convention Minière, 2018</t>
  </si>
  <si>
    <t>https://resourcecontracts-nrgi.s3-us-west-2.amazonaws.com/2916/2916-chalco-guinea-company-sa-societe-portuaire-chalco-hong-kong-limited-convention-miniere-2018.pdf</t>
  </si>
  <si>
    <t>2018-06-08</t>
  </si>
  <si>
    <t>Ministère des Mines et de la Géologie ; Ministère du Budget</t>
  </si>
  <si>
    <t>Chalco Guinea Company S.A;Société Portuaire;Chalco Hong Kong Limited</t>
  </si>
  <si>
    <t>https://www.contratsminiersguinee.org/contract/ocds-591adf-0789497252/view</t>
  </si>
  <si>
    <t>Chalco Guinea Company S.A, Société Portuaire, Chalco Hong Kong Limited,  Annexes convention minière, 2018</t>
  </si>
  <si>
    <t>https://resourcecontracts-nrgi.s3-us-west-2.amazonaws.com/2917/2917-chalco-guinea-company-sa-societe-portuaire-chalco-hong-kong-limited-annexe-convention-miniere-2018.pdf</t>
  </si>
  <si>
    <t>Contract Annex</t>
  </si>
  <si>
    <t>https://www.contratsminiersguinee.org/contract/ocds-591adf-7227443979/view</t>
  </si>
  <si>
    <t>La Société des Bauxites de Guinée, SBG Bauxite and Alumina N.V., Concession, 2018</t>
  </si>
  <si>
    <t>https://resourcecontracts-nrgi.s3-us-west-2.amazonaws.com/3349/3349-la-societe-des-bauxites-de-guine-sbg-bauxite-and-alumina-nv-convention-2018.pdf</t>
  </si>
  <si>
    <t>Alumina;Bauxite</t>
  </si>
  <si>
    <t>2018-05-14</t>
  </si>
  <si>
    <t>Ministère des Mines et de la Géologie, Minsistère du Budget</t>
  </si>
  <si>
    <t>La Société des Bauxites de Guinée;SBG Bauxite and Alumina N.V.</t>
  </si>
  <si>
    <t>https://www.contratsminiersguinee.org/contract/ocds-591adf-3622819596/view</t>
  </si>
  <si>
    <t>Fria, Bauxite Kimbo S.A.U, Bauxite Kimbo Limited, Concession Agreement, 2018</t>
  </si>
  <si>
    <t>https://resourcecontracts-nrgi.s3-us-west-2.amazonaws.com/3598/3598-bauxite-kimbo-sau-bauxite-kimbo-limited-exploration-permitlicense-2018.pdf</t>
  </si>
  <si>
    <t>2018-12-17</t>
  </si>
  <si>
    <t>Bauxite Kimbo S.A.U;Bauxite Kimbo Limited</t>
  </si>
  <si>
    <t>https://www.contratsminiersguinee.org/contract/ocds-591adf-0842187625/view</t>
  </si>
  <si>
    <t>Santou, Guinea Evergreen Mining Intelligence SA, TBEA Co Ltd, Concession Agreement, 2017</t>
  </si>
  <si>
    <t>https://resourcecontracts-nrgi.s3.us-west-2.amazonaws.com/3098/3098-guinean-evergreen-mining-intelligence-sa-tbea-group-co-ltd-concession-agreement-2017.pdf</t>
  </si>
  <si>
    <t>Bauxite-Aluminum</t>
  </si>
  <si>
    <t>2017-12-30</t>
  </si>
  <si>
    <t>2017</t>
  </si>
  <si>
    <t>Ministère des Mines et de la Géologie - Ministère du Budget</t>
  </si>
  <si>
    <t>Guinea Evergreen Mining Intelligence SA;TBEA Co Ltd</t>
  </si>
  <si>
    <t>https://www.contratsminiersguinee.org/contract/ocds-591adf-1880406409/view</t>
  </si>
  <si>
    <t>Trik, Société des Mines de Mandiana, Avocet Mining, Managem, Concession, 2016</t>
  </si>
  <si>
    <t>https://resourcecontracts-nrgi.s3.us-west-2.amazonaws.com/2715/2715-convention-de-base-pour-lexploitation-des-gisements-dor-de-la-prefecture-de-mandiana.pdf</t>
  </si>
  <si>
    <t>Gold;Silver</t>
  </si>
  <si>
    <t>2016-12-19</t>
  </si>
  <si>
    <t>2016</t>
  </si>
  <si>
    <t>Ministère des Mines et de la Géologie</t>
  </si>
  <si>
    <t>Société des Mines de Mandiana;Avocet Mining;Managem</t>
  </si>
  <si>
    <t>https://www.contratsminiersguinee.org/contract/ocds-591adf-4510320857/view</t>
  </si>
  <si>
    <t>Société des Mines de Mandiana, Avocet Mining, Managem, Trik, Contract Annex, 2016</t>
  </si>
  <si>
    <t>https://resourcecontracts-nrgi.s3.us-west-2.amazonaws.com/4906/4906-societe-des-mines-de-mandiana-avocet-mining-managem-trik-contract-annex-2016.pdf</t>
  </si>
  <si>
    <t>https://www.contratsminiersguinee.org/contract/ocds-591adf-8002546923/view</t>
  </si>
  <si>
    <t>Bel Air Mining, Alufer Mining, Alufer Mining Limited, Concession, 2016</t>
  </si>
  <si>
    <t>https://resourcecontracts-nrgi.s3-us-west-2.amazonaws.com/2716/2716-convention-de-base-pour-lexploitation-des-gisements-de-bauxite-de-bel-air.pdf</t>
  </si>
  <si>
    <t>2016-02-01</t>
  </si>
  <si>
    <t>Alufer Mining;Alufer Mining Limited</t>
  </si>
  <si>
    <t>https://www.contratsminiersguinee.org/contract/ocds-591adf-4258574838/view</t>
  </si>
  <si>
    <t>Bel Air Mining, Alufer Mining, Alufer Mining Limited, Environmental Impact Assessment, 2016</t>
  </si>
  <si>
    <t>https://resourcecontracts-nrgi.s3-us-west-2.amazonaws.com/2717/2717-etude-dimpact-environnemental-et-social-esia.pdf</t>
  </si>
  <si>
    <t>Environmental and Social Document</t>
  </si>
  <si>
    <t>https://www.contratsminiersguinee.org/contract/ocds-591adf-9173482252/view</t>
  </si>
  <si>
    <t>Bel Air Mining, Alufer Mining, Concession, Annex, 2016</t>
  </si>
  <si>
    <t>https://resourcecontracts-nrgi.s3-us-west-2.amazonaws.com/2813/2813-alufer-mining-alufer-mining-limited-bel-air-mining-annexe-fiscale-annexes-e-et-f-2016.pdf</t>
  </si>
  <si>
    <t>Concession Agreement;Contract Annex</t>
  </si>
  <si>
    <t>Alufer Mining</t>
  </si>
  <si>
    <t>https://www.contratsminiersguinee.org/contract/ocds-591adf-4817875899/view</t>
  </si>
  <si>
    <t>Alcan Holdings Switzerland AG, Aluminium Pechiney via Halco (Mining) Inc., Compagnie de Bauxite de Guinée, Concession, 2015</t>
  </si>
  <si>
    <t>https://resourcecontracts-nrgi.s3-us-west-2.amazonaws.com/4410/4410-alcan-holdings-switzerland-ag-aluminium-pechiney-via-halco-mining-inc-compagnie-de-bauxite-de-guinee-concession-2015.pdf</t>
  </si>
  <si>
    <t>2015-01-15</t>
  </si>
  <si>
    <t>2015</t>
  </si>
  <si>
    <t>Alcan Holdings Switzerland AG;Aluminium Pechiney via Halco (Mining) Inc.;Compagnie de Bauxite de Guinée</t>
  </si>
  <si>
    <t>https://www.contratsminiersguinee.org/contract/ocds-591adf-2269582291/view</t>
  </si>
  <si>
    <t>GAC, Guinea Alumina Corporation, Mubadala, Dubal, Concession, Amendment, 2013</t>
  </si>
  <si>
    <t>https://resourcecontracts-nrgi.s3-us-west-2.amazonaws.com/719/719-gac-avenant-2-guinee-2013.pdf</t>
  </si>
  <si>
    <t>Concession Agreement;Contract Amendment</t>
  </si>
  <si>
    <t>2013-11-24</t>
  </si>
  <si>
    <t>2013</t>
  </si>
  <si>
    <t>Ministre charge des Mines et de la Geologie</t>
  </si>
  <si>
    <t>Guinea Alumina Corporation;Mubadala;Dubal</t>
  </si>
  <si>
    <t>https://www.contratsminiersguinee.org/contract/ocds-591adf-2771733988/view</t>
  </si>
  <si>
    <t>CPI, China Power Investment Corporation, Concession, 2013</t>
  </si>
  <si>
    <t>https://resourcecontracts-nrgi.s3-us-west-2.amazonaws.com/1820/1820-guinea-cpi-mining-convention-2013.pdf</t>
  </si>
  <si>
    <t>2013-09-06</t>
  </si>
  <si>
    <t>Ministère des Mines et de la Géologie et Ministère délégué au Budet</t>
  </si>
  <si>
    <t>China Power Investment Corporation</t>
  </si>
  <si>
    <t>https://www.contratsminiersguinee.org/contract/ocds-591adf-2396569119/view</t>
  </si>
  <si>
    <t>Simandou 3&amp;4, SIMFER, Rio Tinto, Concession, 2011</t>
  </si>
  <si>
    <t>https://resourcecontracts-nrgi.s3-us-west-2.amazonaws.com/901/901-simfer-accord-guinee-2011.pdf</t>
  </si>
  <si>
    <t>2011-04-22</t>
  </si>
  <si>
    <t>2011</t>
  </si>
  <si>
    <t>Ministre des Mines</t>
  </si>
  <si>
    <t>SIMFER;Rio Tinto</t>
  </si>
  <si>
    <t>https://www.contratsminiersguinee.org/contract/ocds-591adf-8033884916/view</t>
  </si>
  <si>
    <t>AMC, Alliance Mining Commodities, Concession, 2010</t>
  </si>
  <si>
    <t>https://resourcecontracts-nrgi.s3-us-west-2.amazonaws.com/847/847-amc-convention-2010-non-ratifie-guinee.pdf</t>
  </si>
  <si>
    <t>Anglais</t>
  </si>
  <si>
    <t>2010-06-08</t>
  </si>
  <si>
    <t>2010</t>
  </si>
  <si>
    <t>Ministre des Mines et de la Géologie;Ministre de l'Economie et des Finances</t>
  </si>
  <si>
    <t>Alliance Mining Commodities</t>
  </si>
  <si>
    <t>https://www.contratsminiersguinee.org/contract/ocds-591adf-7087857453/view</t>
  </si>
  <si>
    <t>AMC, Alliance Mining Commodities, Amendment, 2014</t>
  </si>
  <si>
    <t>https://resourcecontracts-nrgi.s3-us-west-2.amazonaws.com/726/726-amc-convention-2010-avenant-no-1-guinee.pdf</t>
  </si>
  <si>
    <t>Contract Amendment</t>
  </si>
  <si>
    <t>2014-06-30</t>
  </si>
  <si>
    <t>2014</t>
  </si>
  <si>
    <t>Ministre des  Mines et de la Geologie</t>
  </si>
  <si>
    <t>https://www.contratsminiersguinee.org/contract/ocds-591adf-9016560520/view</t>
  </si>
  <si>
    <t>https://resourcecontracts-nrgi.s3-us-west-2.amazonaws.com/728/728-amc-convention-guinee.pdf</t>
  </si>
  <si>
    <t>Ministere des  Mines et de la Geologie</t>
  </si>
  <si>
    <t>https://www.contratsminiersguinee.org/contract/ocds-591adf-5003575897/view</t>
  </si>
  <si>
    <t>AMC, Alliance Mining Commodities, Concession, Annex, 2010</t>
  </si>
  <si>
    <t>https://resourcecontracts-nrgi.s3-us-west-2.amazonaws.com/727/727-amc-convention-annexes-a-lavenant-2014-guinee.pdf</t>
  </si>
  <si>
    <t>2010-11-12</t>
  </si>
  <si>
    <t>LE PRESIDENT DE LA REPUBLIQUE PAR INTERIM  PRESIDENT DE LA TRANSITION</t>
  </si>
  <si>
    <t>https://www.contratsminiersguinee.org/contract/ocds-591adf-6749062117/view</t>
  </si>
  <si>
    <t>AMC, Alliance Mining Commodities, Concession, Annex, 2010, 001</t>
  </si>
  <si>
    <t>https://resourcecontracts-nrgi.s3-us-west-2.amazonaws.com/846/846-amc-convention-2010-annexes-guinee.pdf</t>
  </si>
  <si>
    <t>2010-06-30</t>
  </si>
  <si>
    <t>Ministre des Mines et de la Géologie</t>
  </si>
  <si>
    <t>https://www.contratsminiersguinee.org/contract/ocds-591adf-2927931073/view</t>
  </si>
  <si>
    <t>AMC, Alliance Mining Commodities, Concession, Avenant 2, 2017</t>
  </si>
  <si>
    <t>https://resourcecontracts-nrgi.s3-us-west-2.amazonaws.com/2867/2867-amc-alliance-mining-commodities-concession-avenant-2-2017.pdf</t>
  </si>
  <si>
    <t>2017-12-18</t>
  </si>
  <si>
    <t>https://www.contratsminiersguinee.org/contract/ocds-591adf-9642814017/view</t>
  </si>
  <si>
    <t>IMD - Convention Annulee, International Mining Development, Lissa Mining, Concession, 2010</t>
  </si>
  <si>
    <t>https://resourcecontracts-nrgi-prod.s3.amazonaws.com/853/853-imd-guinee-2010.pdf</t>
  </si>
  <si>
    <t>Ministère des Mines et de la Géologie;Ministère de l'Économie et des Finances</t>
  </si>
  <si>
    <t>International Mining Development;Lissa Mining</t>
  </si>
  <si>
    <t>https://www.contratsminiersguinee.org/contract/ocds-591adf-2962312827/view</t>
  </si>
  <si>
    <t>Lissa Mining Services Company Limited, International Mining Development S.A., Concession, 2010</t>
  </si>
  <si>
    <t>https://resourcecontracts-nrgi-prod.s3.amazonaws.com/935/935-imd-convention-english.pdf</t>
  </si>
  <si>
    <t>Aluminum;Bauxite</t>
  </si>
  <si>
    <t>2010-06-01</t>
  </si>
  <si>
    <t>Ministry for Mines and Geology;Ministry of the Economy and Finance</t>
  </si>
  <si>
    <t>Lissa Mining Services Company Limited;International Mining Development S.A.</t>
  </si>
  <si>
    <t>https://www.contratsminiersguinee.org/contract/ocds-591adf-4483792440/view</t>
  </si>
  <si>
    <t>GAC, Guinea Alumina Corporation, Guinea Alumina, Concession, Annex, 2010</t>
  </si>
  <si>
    <t>https://resourcecontracts-nrgi.s3-us-west-2.amazonaws.com/860/860-gac-annex-3-guinee-2010.pdf</t>
  </si>
  <si>
    <t>2010-05-14</t>
  </si>
  <si>
    <t>L’AGENCE NATIONALE D’AMENAGEMENT DES INFRASTRUCTURES MINIERES (ANAIM);Ministere des Mines et de la Geologie</t>
  </si>
  <si>
    <t>Guinea Alumina Corporation;Guinea Alumina</t>
  </si>
  <si>
    <t>https://www.contratsminiersguinee.org/contract/ocds-591adf-2774693704/view</t>
  </si>
  <si>
    <t>GAC, Guinea Alumina Corporation, Guinea Alumina, Compagnie des Bauxites de Guinee, Contract, 2010</t>
  </si>
  <si>
    <t>https://resourcecontracts-nrgi.s3-us-west-2.amazonaws.com/863/863-cbg-gac-operations-contract-guinee-2006.pdf</t>
  </si>
  <si>
    <t>Ministre des  Mines et de la Geologie;LAGENCE NATIONALE D’AMENAGEMENT DES INFRASTRUCTURES MINIERES</t>
  </si>
  <si>
    <t>Guinea Alumina Corporation;Guinea Alumina;Compagnie des Bauxites de Guinee</t>
  </si>
  <si>
    <t>https://www.contratsminiersguinee.org/contract/ocds-591adf-9593916956/view</t>
  </si>
  <si>
    <t>Kalia, Bellzone Mining, Bellzone Holdings S.A., Bellzone Holdings Pty Ltd, Concession, 2010</t>
  </si>
  <si>
    <t>https://resourcecontracts-nrgi-prod.s3.amazonaws.com/899/899-bellzone-mining-bellzone-holdings-sa-bellzone-holdings-pty-ltd-kalia-concession-2010.pdf</t>
  </si>
  <si>
    <t>2010-08-04</t>
  </si>
  <si>
    <t>Minister of Mines and Geology</t>
  </si>
  <si>
    <t>Bellzone Mining;Bellzone Holdings S.A.;Bellzone Holdings Pty Ltd</t>
  </si>
  <si>
    <t>https://www.contratsminiersguinee.org/contract/ocds-591adf-9563208602/view</t>
  </si>
  <si>
    <t>Bellzone Mining, Bellzone Holdings S.A., Bellzone Holdings Pty Ltd, Kalia, Annex 1, 2010</t>
  </si>
  <si>
    <t>https://resourcecontracts-nrgi-prod.s3.amazonaws.com/4385/4385-bellzone-mining-bellzone-holdings-sa-bellzone-holdings-pty-ltd-kalia-annex-2010.pdf</t>
  </si>
  <si>
    <t>https://www.contratsminiersguinee.org/contract/ocds-591adf-8318539163/view</t>
  </si>
  <si>
    <t>Bellzone Mining, Bellzone Holdings S.A., Bellzone Holdings Pty Ltd, Kalia, Annex 7, 2010</t>
  </si>
  <si>
    <t>https://resourcecontracts-nrgi-prod.s3.amazonaws.com/4386/4386-bellzone-mining-bellzone-holdings-sa-bellzone-holdings-pty-ltd-kalia-annex-7-2010.pdf</t>
  </si>
  <si>
    <t>https://www.contratsminiersguinee.org/contract/ocds-591adf-5618674336/view</t>
  </si>
  <si>
    <t>Bellzone Mining PLC, Bellzone Holdings Pty Ltd., Concession, Annex 7, 2010</t>
  </si>
  <si>
    <t>https://resourcecontracts-nrgi-prod.s3.amazonaws.com/897/897-bellzone-holdings-annex7-guinee-2010.pdf</t>
  </si>
  <si>
    <t>2010-05-31</t>
  </si>
  <si>
    <t>Ministre des Mines et de la  Geologie</t>
  </si>
  <si>
    <t>Bellzone Mining Plc;Bellzone Holdings Pty Ltd</t>
  </si>
  <si>
    <t>https://www.contratsminiersguinee.org/contract/ocds-591adf-2635755922/view</t>
  </si>
  <si>
    <t>Bellzone Mining PLC, Concession, Annex, 2010</t>
  </si>
  <si>
    <t>https://resourcecontracts-nrgi-prod.s3.amazonaws.com/898/898-bellzone-holdings-annex1256-guinee-2010.pdf</t>
  </si>
  <si>
    <t>2010-06-17</t>
  </si>
  <si>
    <t>Ministere des Mines et de la Geologie;Ministere de I’Economic et des Finances</t>
  </si>
  <si>
    <t>Bellzone Mining Plc</t>
  </si>
  <si>
    <t>https://www.contratsminiersguinee.org/contract/ocds-591adf-1601150827/view</t>
  </si>
  <si>
    <t>Kalia, Bellzone Mining, Bellzone Holdings S.A., Avenant 1, 2017</t>
  </si>
  <si>
    <t>https://resourcecontracts-nrgi-prod.s3.amazonaws.com/2869/2869-kalia-bellzone-mining-bellzone-holdings-sa-avenant-1-2017.pdf</t>
  </si>
  <si>
    <t>2017-10-31</t>
  </si>
  <si>
    <t>https://www.contratsminiersguinee.org/contract/ocds-591adf-6179905611/view</t>
  </si>
  <si>
    <t>Kalia, Bellzone Mining, Concession, Annex, 2010</t>
  </si>
  <si>
    <t>https://resourcecontracts-nrgi-prod.s3.amazonaws.com/896/896-bellzone-mining-kalia-concession-annex-2010.pdf</t>
  </si>
  <si>
    <t>2010-04-16</t>
  </si>
  <si>
    <t>Bellzone Mining</t>
  </si>
  <si>
    <t>https://www.contratsminiersguinee.org/contract/ocds-591adf-1432977950/view</t>
  </si>
  <si>
    <t>Helalin SA, USA Gold Mines Guinee Ltd., Bauxite Angola Guinee SA, Hubble Holding Ltd. SA, Annulation de permis, 2010</t>
  </si>
  <si>
    <t>https://resourcecontracts-nrgi-prod.s3.amazonaws.com/892/892-helalin-annulation-permis-guinee-2010.pdf</t>
  </si>
  <si>
    <t>Bauxite;Gold</t>
  </si>
  <si>
    <t>2010-06-23</t>
  </si>
  <si>
    <t>Annulation de permis</t>
  </si>
  <si>
    <t>Helalin SA;USA Gold Mines Guinee Ltd.;Bauxite Angola Guinee SA;Hubble Holding Ltd. SA</t>
  </si>
  <si>
    <t>https://www.contratsminiersguinee.org/contract/ocds-591adf-0921285528/view</t>
  </si>
  <si>
    <t>GAC, Guinea Alumina Corporation, Guinea Alumina, Concession, Annex, 2010, 001</t>
  </si>
  <si>
    <t>https://resourcecontracts-nrgi.s3-us-west-2.amazonaws.com/861/861-gac-annex-7-guinee-2010.pdf</t>
  </si>
  <si>
    <t>Ministre  charge des Mines et de la Geologie;LAGENCE NATIONALE D’AMENAGEMENT DES INFRASTRUCTURES MINIERES</t>
  </si>
  <si>
    <t>https://www.contratsminiersguinee.org/contract/ocds-591adf-7382402375/view</t>
  </si>
  <si>
    <t>Simandou 1&amp;3, BSG Resources, BSG Resources (Guinea) Limited, Concession, 2009</t>
  </si>
  <si>
    <t>https://resourcecontracts-nrgi.s3-us-west-2.amazonaws.com/848/848-zogota-convention.pdf</t>
  </si>
  <si>
    <t>2010-04-12</t>
  </si>
  <si>
    <t>2009</t>
  </si>
  <si>
    <t>Ministère des Mines et de l'Energie;Ministère à la Présidence Chargé de l'Economie et des Finances</t>
  </si>
  <si>
    <t>BSG Resources;BSG Resources (Guinea) Limited</t>
  </si>
  <si>
    <t>https://www.contratsminiersguinee.org/contract/ocds-591adf-4935777771/view</t>
  </si>
  <si>
    <t>BSG Resources (Guinea) Limited, BSG Resources (Guinea) SARL, Concession, 2009</t>
  </si>
  <si>
    <t>https://resourcecontracts-nrgi-prod.s3.amazonaws.com/938/938-zogota-convention-english.pdf</t>
  </si>
  <si>
    <t>2009-11-30</t>
  </si>
  <si>
    <t>MINISTRY OF MINES AND ENERGY</t>
  </si>
  <si>
    <t>BSG Resources (Guinea) Limited;BSG Resources (Guinea) SARL</t>
  </si>
  <si>
    <t>https://www.contratsminiersguinee.org/contract/ocds-591adf-8606873912/view</t>
  </si>
  <si>
    <t>CDM, Compagnie de Développement des Mines Internationales Henan - Chine / Guinée, La Société de Développement des Mines Internationales du Henan, SA, Concession, 2008</t>
  </si>
  <si>
    <t>https://resourcecontracts-nrgi.s3-us-west-2.amazonaws.com/852/852-cdm-chine-guinee.pdf</t>
  </si>
  <si>
    <t>2008</t>
  </si>
  <si>
    <t>Ministere des Mines et de la Geologie;Ministere de l'Economie et des Finances</t>
  </si>
  <si>
    <t>Compagnie de Développement des Mines Internationales Henan - Chine / Guinée;La Société de Développement des Mines Internationales du Henan, SA</t>
  </si>
  <si>
    <t>https://www.contratsminiersguinee.org/contract/ocds-591adf-9306677863/view</t>
  </si>
  <si>
    <t>Compagnie de Développement des Mines Internationales Henan, La Société de Développement des Mines Internationales du Henan, CDM, Exploitation License, 2018</t>
  </si>
  <si>
    <t>https://resourcecontracts-nrgi.s3-us-west-2.amazonaws.com/3601/3601-compagnie-de-developpement-des-mines-internationales-henan-chine-guinee-la-societe-de-developpement-des-mines-internationales-du-henan-sa-cdm-conventi....pdf</t>
  </si>
  <si>
    <t>Ministère des Mines et de la Géologie, Ministère du Budget;Ministere de l'Economie et des Finances</t>
  </si>
  <si>
    <t>Compagnie de Développement des Mines Internationales Henan;La Société de Développement des Mines Internationales du Henan</t>
  </si>
  <si>
    <t>https://www.contratsminiersguinee.org/contract/ocds-591adf-6904959112/view</t>
  </si>
  <si>
    <t>GAC / CBG, Compagnie des Bauxites de Guinée, Global Alumina Corporation Ltd, Amendment, 2006</t>
  </si>
  <si>
    <t>https://resourcecontracts-nrgi-prod.s3.amazonaws.com/915/915-cbg-globalalumina-guinee-2006.pdf</t>
  </si>
  <si>
    <t>2006-01-13</t>
  </si>
  <si>
    <t>2006</t>
  </si>
  <si>
    <t>Compagnie des Bauxites de Guinée;Global Alumina Corporation Ltd</t>
  </si>
  <si>
    <t>https://www.contratsminiersguinee.org/contract/ocds-591adf-0628604071/view</t>
  </si>
  <si>
    <t>GAC, Guinea Alumina Corporation SA, Guinea Alumina Corporation LTD, Accord Transactionnel, 2018</t>
  </si>
  <si>
    <t>https://resourcecontracts-nrgi-prod.s3.amazonaws.com/2868/2868-gac-guinea-alumina-corporation-sa-guinea-alumina-corporation-ltd-accord-transactionnel-2018.pdf</t>
  </si>
  <si>
    <t>Accord Transactionnel</t>
  </si>
  <si>
    <t>2018-08-30</t>
  </si>
  <si>
    <t>https://www.contratsminiersguinee.org/contract/ocds-591adf-0737892348/view</t>
  </si>
  <si>
    <t>Global Alumina Corporation, La Compagnie des Bauxites de Guinee, Halco (Mining) Inc., Concession, 2006</t>
  </si>
  <si>
    <t>https://resourcecontracts-nrgi-prod.s3.amazonaws.com/864/864-cbg-gac-accord-tripartite-guinee-2006.pdf</t>
  </si>
  <si>
    <t>Global Alumina Corporation Ltd;La Compagnie des Bauxites de Guinee;Halco (Mining) Inc.</t>
  </si>
  <si>
    <t>https://www.contratsminiersguinee.org/contract/ocds-591adf-8078738904/view</t>
  </si>
  <si>
    <t>Rusal, Friguia, 2006</t>
  </si>
  <si>
    <t>https://resourcecontracts-nrgi-prod.s3.amazonaws.com/924/924-fria-decret-de-privatisation-2006.pdf</t>
  </si>
  <si>
    <t>2008-06-03</t>
  </si>
  <si>
    <t>Ministre des Mines et de la Geologie;Ministre de l'Economie et des Finances</t>
  </si>
  <si>
    <t>Rusal</t>
  </si>
  <si>
    <t>https://www.contratsminiersguinee.org/contract/ocds-591adf-9669096564/view</t>
  </si>
  <si>
    <t>GAC, Guinea Alumina Corporation, Global Alumina, Concession, Amendment, 2005</t>
  </si>
  <si>
    <t>https://resourcecontracts-nrgi.s3-us-west-2.amazonaws.com/855/855-gac-amendement-1-guinee-2005.pdf</t>
  </si>
  <si>
    <t>2005-05-16</t>
  </si>
  <si>
    <t>2005</t>
  </si>
  <si>
    <t>Guinea Alumina Corporation;Global Alumina</t>
  </si>
  <si>
    <t>https://www.contratsminiersguinee.org/contract/ocds-591adf-7718448031/view</t>
  </si>
  <si>
    <t>GAC, Global Alumina Corporation, Exploitation License, 2005</t>
  </si>
  <si>
    <t>https://resourcecontracts-nrgi.s3-us-west-2.amazonaws.com/859/859-gac-concession-decree-guinee-2005.pdf</t>
  </si>
  <si>
    <t>2005-11-22</t>
  </si>
  <si>
    <t>Ministere des Mines et de la Geologie</t>
  </si>
  <si>
    <t>Global Alumina Corporation</t>
  </si>
  <si>
    <t>https://www.contratsminiersguinee.org/contract/ocds-591adf-0855371527/view</t>
  </si>
  <si>
    <t>GAC, Guinea Alumina Corporation, Global Alumina, Concession, Annex, 2005</t>
  </si>
  <si>
    <t>https://resourcecontracts-nrgi.s3-us-west-2.amazonaws.com/862/862-cbg-gac-convention-ratification-guinee-2005.pdf</t>
  </si>
  <si>
    <t>2005-07-04</t>
  </si>
  <si>
    <t>ASSEMBLEE NATIONALE DE LA REPUBLIQUE DE GUINEE</t>
  </si>
  <si>
    <t>https://www.contratsminiersguinee.org/contract/ocds-591adf-4942070282/view</t>
  </si>
  <si>
    <t>Telimele - Convention Annulee, Third Party Logistics Trade, Concession, 2005</t>
  </si>
  <si>
    <t>https://resourcecontracts-nrgi.s3-us-west-2.amazonaws.com/893/893-helalin-guinee-2005.pdf</t>
  </si>
  <si>
    <t>2005-02-12</t>
  </si>
  <si>
    <t>Third Party Logistics Trade</t>
  </si>
  <si>
    <t>https://www.contratsminiersguinee.org/contract/ocds-591adf-6800054916/view</t>
  </si>
  <si>
    <t>Kabata, Alcoa, Alcan, Rio Tinto, Concession, 2005</t>
  </si>
  <si>
    <t>https://resourcecontracts-nrgi-prod.s3.amazonaws.com/876/876-kabata-guinee-2005.pdf</t>
  </si>
  <si>
    <t>Alcoa;Alcan;Rio Tinto</t>
  </si>
  <si>
    <t>https://www.contratsminiersguinee.org/contract/ocds-591adf-0484705559/view</t>
  </si>
  <si>
    <t>CBG, Compagnie des Bauxites de Guinée, Amendement, 2005</t>
  </si>
  <si>
    <t>https://resourcecontracts-nrgi.s3-us-west-2.amazonaws.com/2729/2729-compagnie-des-bauxites-de-guinee-concession-2005.pdf</t>
  </si>
  <si>
    <t>Compagnie des Bauxites de Guinée</t>
  </si>
  <si>
    <t>https://www.contratsminiersguinee.org/contract/ocds-591adf-0616817020/view</t>
  </si>
  <si>
    <t>GAC, Guinea Alumina Corporation, Global Alumina, Concession, 2004</t>
  </si>
  <si>
    <t>https://resourcecontracts-nrgi-prod.s3.amazonaws.com/856/856-gac-guinee-2004.pdf</t>
  </si>
  <si>
    <t>2004-10-15</t>
  </si>
  <si>
    <t>2004</t>
  </si>
  <si>
    <t>https://www.contratsminiersguinee.org/contract/ocds-591adf-9628733185/view</t>
  </si>
  <si>
    <t>Global Alumina, Concession, 2005</t>
  </si>
  <si>
    <t>https://resourcecontracts-nrgi-prod.s3.amazonaws.com/934/934-gac-decret-de-concession-english.pdf</t>
  </si>
  <si>
    <t>Global Alumina</t>
  </si>
  <si>
    <t>https://www.contratsminiersguinee.org/contract/ocds-591adf-7608740185/view</t>
  </si>
  <si>
    <t>Guinea Alumina Corporation Ltd., Global Alumina, Concession, 2004</t>
  </si>
  <si>
    <t>https://resourcecontracts-nrgi-prod.s3.amazonaws.com/933/933-gac-convention-english.pdf</t>
  </si>
  <si>
    <t>Ministry for Mines and Geology</t>
  </si>
  <si>
    <t>Guinea Alumina Corporation Ltd;Global Alumina</t>
  </si>
  <si>
    <t>https://www.contratsminiersguinee.org/contract/ocds-591adf-3091034155/view</t>
  </si>
  <si>
    <t>Guinea Alumina Corporation Ltd., Global Alumina, Concession, Amendment, 2005</t>
  </si>
  <si>
    <t>https://resourcecontracts-nrgi-prod.s3.amazonaws.com/932/932-gac-convention-amendement-no-1-english.pdf</t>
  </si>
  <si>
    <t>https://www.contratsminiersguinee.org/contract/ocds-591adf-2159924071/view</t>
  </si>
  <si>
    <t>SMFG, Societe des Mines de Fer de Guinee, Euronimba, Concession, 2003, 001</t>
  </si>
  <si>
    <t>https://resourcecontracts-nrgi-prod.s3.amazonaws.com/911/911-euronimba-guinee-2003.pdf</t>
  </si>
  <si>
    <t>2003-04-25</t>
  </si>
  <si>
    <t>2003</t>
  </si>
  <si>
    <t>MINISTERE DES MINES, DE LA GEOLOGIE ET DE L’ENVIRONNEMENT</t>
  </si>
  <si>
    <t>Societe des Mines de Fer de Guinee;Euronimba</t>
  </si>
  <si>
    <t>https://www.contratsminiersguinee.org/contract/ocds-591adf-0725247752/view</t>
  </si>
  <si>
    <t>SMFG, Societe des Mines de Fer de Guinee, Euronimba, Concession, 2003</t>
  </si>
  <si>
    <t>https://resourcecontracts-nrgi-prod.s3.amazonaws.com/914/914-euronimba-ratification-guinee-2003.pdf</t>
  </si>
  <si>
    <t>2003-05-30</t>
  </si>
  <si>
    <t>L'ASSEMBLEE NATIONALE OE LA REPUBUQUE OE GUINEE</t>
  </si>
  <si>
    <t>https://www.contratsminiersguinee.org/contract/ocds-591adf-1653821228/view</t>
  </si>
  <si>
    <t>SMFG, Societe des Mines de Fer de Guinee, Euronimba, Concession, Annex, 2003</t>
  </si>
  <si>
    <t>https://resourcecontracts-nrgi-prod.s3.amazonaws.com/912/912-euronimba-annexes-guinee-2003.pdf</t>
  </si>
  <si>
    <t>2005-01-04</t>
  </si>
  <si>
    <t>Ministere des Mines</t>
  </si>
  <si>
    <t>https://www.contratsminiersguinee.org/contract/ocds-591adf-6677014369/view</t>
  </si>
  <si>
    <t>SMFG, Societe des Mines de Fer de Guinee, Euronimba, Exploitation License, 2003</t>
  </si>
  <si>
    <t>https://resourcecontracts-nrgi-prod.s3.amazonaws.com/910/910-euronimba-concession-guinee-2003.pdf</t>
  </si>
  <si>
    <t>2003-07-29</t>
  </si>
  <si>
    <t>Ministere des Mines de la Geologie et de l’Environnement</t>
  </si>
  <si>
    <t>https://www.contratsminiersguinee.org/contract/ocds-591adf-3437474455/view</t>
  </si>
  <si>
    <t>SEMAFO, SEMAFO Guinee, ONA, Concession, 2002</t>
  </si>
  <si>
    <t>https://resourcecontracts-nrgi.s3-us-west-2.amazonaws.com/895/895-semafo-guinee-2002.pdf</t>
  </si>
  <si>
    <t>2002-04-02</t>
  </si>
  <si>
    <t>2002</t>
  </si>
  <si>
    <t>Ministere des Mines, de la Geoiogie et de l'Environnement</t>
  </si>
  <si>
    <t>SEMAFO Guinee;ONA</t>
  </si>
  <si>
    <t>https://www.contratsminiersguinee.org/contract/ocds-591adf-6187166467/view</t>
  </si>
  <si>
    <t>Simandou, SIMFER, Rio Tinto, Concession, 2002</t>
  </si>
  <si>
    <t>https://resourcecontracts-nrgi-prod.s3.amazonaws.com/903/903-simfer-guinee-2002.pdf</t>
  </si>
  <si>
    <t>2002-11-26</t>
  </si>
  <si>
    <t>Ministre des Mines, de la Geologie et de l’Environnement</t>
  </si>
  <si>
    <t>https://www.contratsminiersguinee.org/contract/ocds-591adf-0925073922/view</t>
  </si>
  <si>
    <t>Simandou 3&amp;4, SIMFER, Rio Tinto, Concession, 2014</t>
  </si>
  <si>
    <t>https://resourcecontracts-nrgi-prod.s3.amazonaws.com/1821/1821-guinea-simandou-south-conventions-amended-and-consolidated-version-of-the-convention-de-base-2014.pdf</t>
  </si>
  <si>
    <t>2014-05-22</t>
  </si>
  <si>
    <t>Ministre de l’Economie et des Finances;Ministre des Mines et de la Géologie</t>
  </si>
  <si>
    <t>https://www.contratsminiersguinee.org/contract/ocds-591adf-6237477089/view</t>
  </si>
  <si>
    <t>Simandou 3&amp;4, SIMFER, Rio Tinto, L'Exploitant des Infrastructures, Concession, 2014</t>
  </si>
  <si>
    <t>https://resourcecontracts-nrgi-prod.s3.amazonaws.com/1822/1822-guinea-simandou-south-conventions-bot-convention-2014.pdf</t>
  </si>
  <si>
    <t>The Republic of Guinea</t>
  </si>
  <si>
    <t>SIMFER;Rio Tinto;L'Exploitant des Infrastructures</t>
  </si>
  <si>
    <t>https://www.contratsminiersguinee.org/contract/ocds-591adf-5738530463/view</t>
  </si>
  <si>
    <t>Simandou, SIMFER, Rio Tinto, Concession, Annex, 2003</t>
  </si>
  <si>
    <t>https://resourcecontracts-nrgi-prod.s3.amazonaws.com/902/902-simfer-accord-annexes-guinee-2011.pdf</t>
  </si>
  <si>
    <t>2003-02-03</t>
  </si>
  <si>
    <t>https://www.contratsminiersguinee.org/contract/ocds-591adf-7212601903/view</t>
  </si>
  <si>
    <t>COBAD, Compagnie des Bauxites de Dian-Dian, Rusal, Concession, 2001</t>
  </si>
  <si>
    <t>https://resourcecontracts-nrgi-prod.s3.amazonaws.com/894/894-cobad-guinee-2001.pdf</t>
  </si>
  <si>
    <t>2001-07-21</t>
  </si>
  <si>
    <t>2001</t>
  </si>
  <si>
    <t>Ministere des Mines, de la Geologie et de I'Environnement</t>
  </si>
  <si>
    <t>Compagnie des Bauxites de Dian-Dian;Rusal</t>
  </si>
  <si>
    <t>https://www.contratsminiersguinee.org/contract/ocds-591adf-8001318248/view</t>
  </si>
  <si>
    <t>COBAD, Compagnie des Bauxites de Dian-Dian, Concession, Annex, 2012</t>
  </si>
  <si>
    <t>https://resourcecontracts-nrgi-prod.s3.amazonaws.com/939/939-cobad-convention-annexe-11-non-ratifie.pdf</t>
  </si>
  <si>
    <t>2014-04-12</t>
  </si>
  <si>
    <t>2012</t>
  </si>
  <si>
    <t>Compagnie des Bauxites de Dian-Dian</t>
  </si>
  <si>
    <t>https://www.contratsminiersguinee.org/contract/ocds-591adf-3988663064/view</t>
  </si>
  <si>
    <t>COBAD, Compagnie des Bauxites de Dian-Dian, Rusal, Amendment, 2017</t>
  </si>
  <si>
    <t>https://resourcecontracts-nrgi-prod.s3.amazonaws.com/2815/2815-compagnie-des-bauxites-de-kindia-rusal-cbk-concession-avenant-n-1-2017.pdf</t>
  </si>
  <si>
    <t>2017-07-21</t>
  </si>
  <si>
    <t>https://www.contratsminiersguinee.org/contract/ocds-591adf-5350724796/view</t>
  </si>
  <si>
    <t>United Company RUSAL Trading House, Annex, 2016</t>
  </si>
  <si>
    <t>https://resourcecontracts-nrgi-prod.s3.amazonaws.com/4821/4821-russal-trading-house-annexe-12-a-la-convention-de-concession-miniere-du-21-juillet-2001-pour-la-production-de-bauxite-et-dalumine-de-dian-dian-2016.pdf</t>
  </si>
  <si>
    <t>2016-04-20</t>
  </si>
  <si>
    <t>United Company RUSAL Trading House</t>
  </si>
  <si>
    <t>https://www.contratsminiersguinee.org/contract/ocds-591adf-2372332812/view</t>
  </si>
  <si>
    <t>Friguia, Alumina Company of Guinea, Reynolds Metals Company, Friguia, Concession, 2000</t>
  </si>
  <si>
    <t>https://resourcecontracts-nrgi-prod.s3.amazonaws.com/927/927-fria-contrat-de-location-gerance-acg-2000.pdf</t>
  </si>
  <si>
    <t>2000-03-01</t>
  </si>
  <si>
    <t>2000</t>
  </si>
  <si>
    <t>Ministere des Mines, de la Geologie et de l'Environnement</t>
  </si>
  <si>
    <t>Alumina Company of Guinea;Reynolds Metals Company;Friguia</t>
  </si>
  <si>
    <t>https://www.contratsminiersguinee.org/contract/ocds-591adf-9112931197/view</t>
  </si>
  <si>
    <t>CBK, Compagnie des Bauxites de Kindia, Rusal, Concession, 2000, 001</t>
  </si>
  <si>
    <t>https://resourcecontracts-nrgi-prod.s3.amazonaws.com/904/904-rousski-alumini-concession-2000.pdf</t>
  </si>
  <si>
    <t>2000-11-03</t>
  </si>
  <si>
    <t>Ministere des  Mines, de la Geologie et de I’Environnement</t>
  </si>
  <si>
    <t>Compagnie des Bauxites de Kindia;Rusal</t>
  </si>
  <si>
    <t>https://www.contratsminiersguinee.org/contract/ocds-591adf-3303812608/view</t>
  </si>
  <si>
    <t>CBK, Compagnie des Bauxites de Kindia, Rusal, Concession, 2000</t>
  </si>
  <si>
    <t>https://resourcecontracts-nrgi-prod.s3.amazonaws.com/906/906-cbk-volume-ii-infrastructures-guinee-2000.pdf</t>
  </si>
  <si>
    <t>2000-03-11</t>
  </si>
  <si>
    <t>Sous-commission technique partie guineenne;SBK</t>
  </si>
  <si>
    <t>https://www.contratsminiersguinee.org/contract/ocds-591adf-0621960018/view</t>
  </si>
  <si>
    <t>CBK, Compagnie des Bauxites de Kindia, Rusal, Concession, Annex, 2000</t>
  </si>
  <si>
    <t>https://resourcecontracts-nrgi-prod.s3.amazonaws.com/908/908-cbk-annex-a-guinee-2000.pdf</t>
  </si>
  <si>
    <t>2000-10-30</t>
  </si>
  <si>
    <t>https://www.contratsminiersguinee.org/contract/ocds-591adf-2458536233/view</t>
  </si>
  <si>
    <t>CBK, Compagnie des Bauxites de Kindia, Rusal, Concession, Annex, 2000, 001</t>
  </si>
  <si>
    <t>https://resourcecontracts-nrgi-prod.s3.amazonaws.com/905/905-cbk-convention-annexe-c-guinee-2000.pdf</t>
  </si>
  <si>
    <t>2006-06-07</t>
  </si>
  <si>
    <t>Ministre des Mines et de la Géologie;Ministre des Finances</t>
  </si>
  <si>
    <t>https://www.contratsminiersguinee.org/contract/ocds-591adf-2096071243/view</t>
  </si>
  <si>
    <t>CBK, Compagnie des Bauxites de Kindia, Rusal, Concession, Annex, 2008</t>
  </si>
  <si>
    <t>https://resourcecontracts-nrgi-prod.s3.amazonaws.com/907/907-cbk-accord-annexe-c-guinee-2000.pdf</t>
  </si>
  <si>
    <t>2008-05-29</t>
  </si>
  <si>
    <t>Le Ministere des Finances, de l’Economic et du Plan</t>
  </si>
  <si>
    <t>https://www.contratsminiersguinee.org/contract/ocds-591adf-8052316867/view</t>
  </si>
  <si>
    <t>Friguia, Compagnie des Bauxites de Kindia, Rusal, Annex, 2017</t>
  </si>
  <si>
    <t>https://resourcecontracts-nrgi-prod.s3.amazonaws.com/2816/2816-compagnie-des-bauxites-de-kindia-rusal-cbk-annexe-1-regime-fiscal-et-douanier-de-friguia.pdf</t>
  </si>
  <si>
    <t>2017-04-07</t>
  </si>
  <si>
    <t>https://www.contratsminiersguinee.org/contract/ocds-591adf-3240944164/view</t>
  </si>
  <si>
    <t>Rousski Alumini, Gisements de Bauxite de Kindia - CBK, Ratification, 2001</t>
  </si>
  <si>
    <t>https://resourcecontracts-nrgi-prod.s3.amazonaws.com/909/909-cbk-ratification-guinee-2000.pdf</t>
  </si>
  <si>
    <t>2001-09-18</t>
  </si>
  <si>
    <t>Rousski Alumini</t>
  </si>
  <si>
    <t>https://www.contratsminiersguinee.org/contract/ocds-591adf-3032468364/view</t>
  </si>
  <si>
    <t>CBK, Compagnie des Bauxites de Kindia, Concession, 2000</t>
  </si>
  <si>
    <t>https://resourcecontracts-nrgi.s3-us-west-2.amazonaws.com/2730/2730-compagnie-des-bauxites-de-kindia-exploitation-license-2000.pdf</t>
  </si>
  <si>
    <t>Ministère des Mines et de la Géologie / Ministère de Leconomie et des Finances</t>
  </si>
  <si>
    <t>Compagnie des Bauxites de Kindia</t>
  </si>
  <si>
    <t>https://www.contratsminiersguinee.org/contract/ocds-591adf-3612985124/view</t>
  </si>
  <si>
    <t>SAG, Societe Aurifere de Guineegui, Golden Shamrock, Anglogold Ashanti, Concession, 1993</t>
  </si>
  <si>
    <t>https://resourcecontracts-nrgi-prod.s3.amazonaws.com/937/937-sag-convention-english.pdf</t>
  </si>
  <si>
    <t>Gold</t>
  </si>
  <si>
    <t>1993-11-11</t>
  </si>
  <si>
    <t>1993</t>
  </si>
  <si>
    <t>Ministry for Planning  and Finance;Ministry for National Resources, Energy and the Environment</t>
  </si>
  <si>
    <t>Societe Aurifere de Guineegui;Golden Shamrock;Anglogold Ashanti</t>
  </si>
  <si>
    <t>https://www.contratsminiersguinee.org/contract/ocds-591adf-8820234307/view</t>
  </si>
  <si>
    <t>SAG, Anglogold Ashanti, Societe Aurifere de Guinee, Golden Shamrock Mines Limited, Chevaning Mining Company Limited, Concession, Amendment, 2005</t>
  </si>
  <si>
    <t>https://resourcecontracts-nrgi-prod.s3.amazonaws.com/858/858-sag-amendment-1-guinee-2005.pdf</t>
  </si>
  <si>
    <t>2005-07-25</t>
  </si>
  <si>
    <t>Anglogold Ashanti;Societe Aurifere de Guinee;Golden Shamrock Mines Limited;Chevaning Mining Company Limited</t>
  </si>
  <si>
    <t>https://www.contratsminiersguinee.org/contract/ocds-591adf-9115310768/view</t>
  </si>
  <si>
    <t>SAG, Golden Shamrock, Chevaning Mining, Societe Aurifere de Guinee, Concession, 1993</t>
  </si>
  <si>
    <t>https://resourcecontracts-nrgi-prod.s3.amazonaws.com/857/857-sag-guinee-1992.pdf</t>
  </si>
  <si>
    <t>Ministère des Ressources Naturelles des Énergies et de l'Environnement;Ministère du Plan et des Finances</t>
  </si>
  <si>
    <t>Golden Shamrock;Chevaning Mining;Societe Aurifere de Guinee</t>
  </si>
  <si>
    <t>https://www.contratsminiersguinee.org/contract/ocds-591adf-2707180369/view</t>
  </si>
  <si>
    <t>SAG, Societe Aurifere de Guinee, Golden Shamrock, Anglogold Ashanti, Amendment, 2016</t>
  </si>
  <si>
    <t>https://resourcecontracts-nrgi-prod.s3.amazonaws.com/2814/2814-golden-shamrock-chevaning-mining-societe-aurifere-de-guinee-sag-concession-convention-revisee-et-consolidee-2016.pdf</t>
  </si>
  <si>
    <t>2016-06-28</t>
  </si>
  <si>
    <t>ministere des mines et de la geologie;Ministère des Mines et de la Géologie, Ministère du Budget</t>
  </si>
  <si>
    <t>Societe Aurifere de Guinee;Golden Shamrock;Anglogold Ashanti</t>
  </si>
  <si>
    <t>https://www.contratsminiersguinee.org/contract/ocds-591adf-9145827406/view</t>
  </si>
  <si>
    <t>SAG, Societe Aurifere de Guinee, Golden Shamrock, Anglogold Ashanti, Concession, Amendment, 2005</t>
  </si>
  <si>
    <t>https://resourcecontracts-nrgi-prod.s3.amazonaws.com/936/936-sag-convention-amendment-1-english.pdf</t>
  </si>
  <si>
    <t>2007-01-07</t>
  </si>
  <si>
    <t>Ministry of Mines and Geology;Ministry of Finance and Economy</t>
  </si>
  <si>
    <t>https://www.contratsminiersguinee.org/contract/ocds-591adf-2461556641/view</t>
  </si>
  <si>
    <t>SBDT, Société de Bauxite de Dabola-Tougué, Republique d'Iran, Concession, 1992</t>
  </si>
  <si>
    <t>https://resourcecontracts-nrgi.s3-us-west-2.amazonaws.com/928/928-sbdt-convention.pdf</t>
  </si>
  <si>
    <t>1992-09-07</t>
  </si>
  <si>
    <t>1992</t>
  </si>
  <si>
    <t>Ministère des Ressources Naturelles des Énergies et de l'Environnement;Ministère du Plan et des Finances;Ministère du Commerce des Transports et du Tourisme</t>
  </si>
  <si>
    <t>Société de Bauxite de Dabola-Tougué;Republique d'Iran</t>
  </si>
  <si>
    <t>https://www.contratsminiersguinee.org/contract/ocds-591adf-2401833289/view</t>
  </si>
  <si>
    <t>Lefa, Societe Miniere de Dinguiraye, Delta Gold Mining, Nordgold, Concession, 1990</t>
  </si>
  <si>
    <t>https://resourcecontracts-nrgi.s3-us-west-2.amazonaws.com/851/851-smd-guinee-1990.pdf</t>
  </si>
  <si>
    <t>1990-05-09</t>
  </si>
  <si>
    <t>1990</t>
  </si>
  <si>
    <t>Ministre des Ressources Naturelles et  de l'Environnement</t>
  </si>
  <si>
    <t>Societe Miniere de Dinguiraye;Delta Gold Mining;Nordgold</t>
  </si>
  <si>
    <t>https://www.contratsminiersguinee.org/contract/ocds-591adf-7040396335/view</t>
  </si>
  <si>
    <t>Lefa, Societe Miniere de Dinguiraye, Delta Gold Mining, Crewgold, Concession, Amendment, 2006</t>
  </si>
  <si>
    <t>https://resourcecontracts-nrgi.s3-us-west-2.amazonaws.com/850/850-smd-amendment-2-guinee-2006.pdf</t>
  </si>
  <si>
    <t>2006-06-29</t>
  </si>
  <si>
    <t>Ministere d'Etat, de l'Economic et des Finances;Ministere des Mines et de la Geologie</t>
  </si>
  <si>
    <t>Societe Miniere de Dinguiraye;Delta Gold Mining;Crewgold</t>
  </si>
  <si>
    <t>https://www.contratsminiersguinee.org/contract/ocds-591adf-9201648630/view</t>
  </si>
  <si>
    <t>Lefa, Societe Miniere de Dinguiraye, Delta Gold Mining, Kenor, Serem, Concession, Amendment, 1993</t>
  </si>
  <si>
    <t>https://resourcecontracts-nrgi.s3-us-west-2.amazonaws.com/849/849-smd-amendment-1-guinee-1993.pdf</t>
  </si>
  <si>
    <t>1993-10-23</t>
  </si>
  <si>
    <t>Ministere des Ressources Naturelles des l'Energies et de I'Environnement</t>
  </si>
  <si>
    <t>Societe Miniere de Dinguiraye;Delta Gold Mining;Kenor;Serem</t>
  </si>
  <si>
    <t>https://www.contratsminiersguinee.org/contract/ocds-591adf-2768083178/view</t>
  </si>
  <si>
    <t>Lefa, Societe Miniere de Dinguiraye, Delta Gold Mining, Nordgold, Amendment, 2018</t>
  </si>
  <si>
    <t>https://resourcecontracts-nrgi.s3-us-west-2.amazonaws.com/2812/2812-avenant-3-a-la-convention-de-base-de-la-societe-miniere-de-dinguiraye-smd.pdf</t>
  </si>
  <si>
    <t>2018-01-22</t>
  </si>
  <si>
    <t>https://www.contratsminiersguinee.org/contract/ocds-591adf-9399783777/view</t>
  </si>
  <si>
    <t>Friguia, Pechiney, Concession, Amendment, 1973</t>
  </si>
  <si>
    <t>https://resourcecontracts-nrgi-prod.s3.amazonaws.com/923/923-fria-avenant-1973.pdf</t>
  </si>
  <si>
    <t>1973-02-10</t>
  </si>
  <si>
    <t>1973</t>
  </si>
  <si>
    <t>ministre du domaine de l'economic et des finances</t>
  </si>
  <si>
    <t>Pechiney</t>
  </si>
  <si>
    <t>https://www.contratsminiersguinee.org/contract/ocds-591adf-6822122534/view</t>
  </si>
  <si>
    <t>Friguia, Pechiney, Amendment, 1987</t>
  </si>
  <si>
    <t>https://resourcecontracts-nrgi-prod.s3.amazonaws.com/926/926-fria-avenant-1973-nouvel-article-8.pdf</t>
  </si>
  <si>
    <t>1987-06-11</t>
  </si>
  <si>
    <t>1987</t>
  </si>
  <si>
    <t>https://www.contratsminiersguinee.org/contract/ocds-591adf-5307724746/view</t>
  </si>
  <si>
    <t>Friguia, Pechiney, Concession, Amendment, 1975</t>
  </si>
  <si>
    <t>https://resourcecontracts-nrgi-prod.s3.amazonaws.com/925/925-fria-avenant-1973-amendement.pdf</t>
  </si>
  <si>
    <t>1975-03-15</t>
  </si>
  <si>
    <t>1975</t>
  </si>
  <si>
    <t>Banque Centrale</t>
  </si>
  <si>
    <t>https://www.contratsminiersguinee.org/contract/ocds-591adf-3240717431/view</t>
  </si>
  <si>
    <t>Friguia, Pechiney, Concession, Annex, 1973</t>
  </si>
  <si>
    <t>https://resourcecontracts-nrgi-prod.s3.amazonaws.com/922/922-fria-avenant-1973-annexes.pdf</t>
  </si>
  <si>
    <t>1973-06-20</t>
  </si>
  <si>
    <t>Ministre du Domaine de l'Economie et des Finances</t>
  </si>
  <si>
    <t>https://www.contratsminiersguinee.org/contract/ocds-591adf-6562585363/view</t>
  </si>
  <si>
    <t>CBG, Compagnie des Bauxites de Guinée, Halco, Concession, 1963</t>
  </si>
  <si>
    <t>https://resourcecontracts-nrgi-prod.s3.amazonaws.com/917/917-cbg-guinee-1963.pdf</t>
  </si>
  <si>
    <t>1963-10-01</t>
  </si>
  <si>
    <t>1963</t>
  </si>
  <si>
    <t>Minietere du Developpement Economique</t>
  </si>
  <si>
    <t>Compagnie des Bauxites de Guinée;Halco</t>
  </si>
  <si>
    <t>https://www.contratsminiersguinee.org/contract/ocds-591adf-7468099467/view</t>
  </si>
  <si>
    <t>CBG, Compagnie des Bauxites de Guinée, Halco, Concession, Amendment, 2002</t>
  </si>
  <si>
    <t>https://resourcecontracts-nrgi-prod.s3.amazonaws.com/916/916-cbg-1963-amendement-guinee-2001.pdf</t>
  </si>
  <si>
    <t>2002-06-11</t>
  </si>
  <si>
    <t>Ministere des Mines de la Geologie et de I’Environnement</t>
  </si>
  <si>
    <t>https://www.contratsminiersguinee.org/contract/ocds-591adf-4278971256/view</t>
  </si>
  <si>
    <t>CBG, Compagnie des Bauxites de Guinée, Halco, Exploitation License, 1964</t>
  </si>
  <si>
    <t>https://resourcecontracts-nrgi-prod.s3.amazonaws.com/918/918-cbg-guinee-1964.pdf</t>
  </si>
  <si>
    <t>1964-06-23</t>
  </si>
  <si>
    <t>1964</t>
  </si>
  <si>
    <t>Ministere du Developpement Economique</t>
  </si>
  <si>
    <t>https://www.contratsminiersguinee.org/contract/ocds-591adf-6473088962/view</t>
  </si>
  <si>
    <t>HALCO (Mining) Inc., Concession, Amendment, 2005</t>
  </si>
  <si>
    <t>https://resourcecontracts-nrgi-prod.s3.amazonaws.com/919/919-halco-mining-inc-concession-amendment-2005.pdf</t>
  </si>
  <si>
    <t>Halco (Mining) Inc.</t>
  </si>
  <si>
    <t>https://www.contratsminiersguinee.org/contract/ocds-591adf-4449736548/view</t>
  </si>
  <si>
    <t>Friguia, Compagnie Internationale pour la Production de I'Alumine, Concession, 1958</t>
  </si>
  <si>
    <t>https://resourcecontracts-nrgi.s3.us-west-2.amazonaws.com/921/921-fria-convention-1958.pdf</t>
  </si>
  <si>
    <t>1958-02-05</t>
  </si>
  <si>
    <t>1958</t>
  </si>
  <si>
    <t>Compagnie Internationale pour la Production de I'Alumine</t>
  </si>
  <si>
    <t>https://www.contratsminiersguinee.org/contract/ocds-591adf-4170419959/view</t>
  </si>
  <si>
    <t>Friguia, Pechiney, Concession, Annex, 1995</t>
  </si>
  <si>
    <t>https://resourcecontracts-nrgi.s3.us-west-2.amazonaws.com/920/920-fria-annexe-fiscale-frialco-1995.pdf</t>
  </si>
  <si>
    <t>1995-02-21</t>
  </si>
  <si>
    <t>1995</t>
  </si>
  <si>
    <t>Ministre des Mines et de la Geologie;Ministre des Finances</t>
  </si>
  <si>
    <t>https://www.contratsminiersguinee.org/contract/ocds-591adf-2682648036/view</t>
  </si>
  <si>
    <t>Russky Aluminy, Friguia, Contract Annex, 2017</t>
  </si>
  <si>
    <t>https://resourcecontracts-nrgi.s3.us-west-2.amazonaws.com/4926/4926-rusal-compagnie-internationale-pour-la-production-de-ialumine-friguia-contract-annex-2017.pdf</t>
  </si>
  <si>
    <t>2017-04-17</t>
  </si>
  <si>
    <t>Russky Aluminy</t>
  </si>
  <si>
    <t xml:space="preserve">Annexe 21 – Recensement des principales dispositions des convention minières récentes </t>
  </si>
  <si>
    <t>Lien ver la publication</t>
  </si>
  <si>
    <t xml:space="preserve">Type de Contrat </t>
  </si>
  <si>
    <t xml:space="preserve">Date de signature </t>
  </si>
  <si>
    <t>Minérai</t>
  </si>
  <si>
    <t>Bloc / Zone</t>
  </si>
  <si>
    <t xml:space="preserve">Parties contractantes </t>
  </si>
  <si>
    <t xml:space="preserve">Principales dispositions Contractuelles </t>
  </si>
  <si>
    <t>Ref</t>
  </si>
  <si>
    <t>Entité</t>
  </si>
  <si>
    <t>Qualité</t>
  </si>
  <si>
    <t>ICI</t>
  </si>
  <si>
    <t xml:space="preserve">Convention d'exploitation </t>
  </si>
  <si>
    <t>Bloc 1 &amp; 2 de Samindou</t>
  </si>
  <si>
    <t>La république de Guinée</t>
  </si>
  <si>
    <t>état</t>
  </si>
  <si>
    <t>Durée , Renouvellement et Transfert</t>
  </si>
  <si>
    <t>Winning Consortium Siamndou SAU</t>
  </si>
  <si>
    <t>Société miniére</t>
  </si>
  <si>
    <t>Durée : 25 ans</t>
  </si>
  <si>
    <t>Art 2,9</t>
  </si>
  <si>
    <t>Renouvellement :(automatique 25 ans puis 10 ans)</t>
  </si>
  <si>
    <t>Art 2,9 - 2,10</t>
  </si>
  <si>
    <t xml:space="preserve">Transfert </t>
  </si>
  <si>
    <t>Art 5,6-5,7-5,8</t>
  </si>
  <si>
    <t xml:space="preserve">Compensation Financiére </t>
  </si>
  <si>
    <t>Montant Principale : 100 000 000 USD</t>
  </si>
  <si>
    <t>Art 2,5</t>
  </si>
  <si>
    <t xml:space="preserve">Montant Complémentaire : 2 000 000 USD   </t>
  </si>
  <si>
    <t xml:space="preserve">Participation de l'état </t>
  </si>
  <si>
    <t>Non contributive : 15% dans le capital de la société</t>
  </si>
  <si>
    <t>Art 4,3</t>
  </si>
  <si>
    <t xml:space="preserve">20% Supplémentaire (option) </t>
  </si>
  <si>
    <t>Art 4,4 et 4,10</t>
  </si>
  <si>
    <t>Droit de l'état d'acquérir le produit au Pro rata</t>
  </si>
  <si>
    <t>Art 17,3</t>
  </si>
  <si>
    <t>Régime Fiscal</t>
  </si>
  <si>
    <t>paiements spécéfiques :</t>
  </si>
  <si>
    <t>Taxe sur l'extraction (3%/TM)</t>
  </si>
  <si>
    <t>Art 22,1</t>
  </si>
  <si>
    <t>Taxe sur l'exportation (2%/TM)</t>
  </si>
  <si>
    <t>Art 22,2</t>
  </si>
  <si>
    <t>Droits fixe</t>
  </si>
  <si>
    <t>Code minier</t>
  </si>
  <si>
    <t>Taxes superficiaires : (150 usd/km²)</t>
  </si>
  <si>
    <t>Art 22,4,2</t>
  </si>
  <si>
    <t>Taxes du droit commun</t>
  </si>
  <si>
    <t xml:space="preserve">impot sur BIC (30% du bénéfice imposable) </t>
  </si>
  <si>
    <t>Art 22,5,1</t>
  </si>
  <si>
    <t>Retenue a la source :
-les salaires 10%
-Prestations 3%
-Loyer 15%
-IRVM 10%
-Achats bien ou services 10%</t>
  </si>
  <si>
    <t>Art 22,6,5</t>
  </si>
  <si>
    <t>Avantages Fiscaux</t>
  </si>
  <si>
    <t>Exonération</t>
  </si>
  <si>
    <t>Phase de recherche et Construction :
-IMF et IS
- Contributions des patentes 
-Contribution a la formation professionnelle  
-Contribution Fonciére unique (cfu)
-taxes d'apprentissage 
-TVA</t>
  </si>
  <si>
    <t>Art 21,2 et 21,3</t>
  </si>
  <si>
    <t>Phase d'exploitation :
-10 ans - BIC
-10 ans - IMF
-7 ans - CFU
-7 ans - Patentes</t>
  </si>
  <si>
    <t>Art 21,4</t>
  </si>
  <si>
    <t xml:space="preserve">Propriété réelle </t>
  </si>
  <si>
    <t>Art 4</t>
  </si>
  <si>
    <t>Bloc</t>
  </si>
  <si>
    <t xml:space="preserve">Convention relative aux infrastructures ferroviaires+ Décret  PIN D/2020/194/PRG/SGG  </t>
  </si>
  <si>
    <t>Winning Consortium Siamndou RAILWAY SAU</t>
  </si>
  <si>
    <t>Société Ferroviaire</t>
  </si>
  <si>
    <t>Durée : 35 ans</t>
  </si>
  <si>
    <t>Art 3,1</t>
  </si>
  <si>
    <t>Client fondamental</t>
  </si>
  <si>
    <t>Renouvellement : 5 ans</t>
  </si>
  <si>
    <t>Art 3,2</t>
  </si>
  <si>
    <t>Art 23,5</t>
  </si>
  <si>
    <t xml:space="preserve">Stabilisation du régime fiscal et douanier </t>
  </si>
  <si>
    <t xml:space="preserve"> - Pas d'augmentation dans les taux d'impots , droits et taxes pendant une periode de 35 ans (Periode de stabilisation ) 
-Aucune nouvelle taxe ou imposition </t>
  </si>
  <si>
    <t xml:space="preserve"> Art 21,2</t>
  </si>
  <si>
    <r>
      <rPr>
        <u/>
        <sz val="9"/>
        <color theme="1"/>
        <rFont val="Trebuchet MS"/>
        <family val="2"/>
      </rPr>
      <t xml:space="preserve">Phase d'étude, Construction,extension : </t>
    </r>
    <r>
      <rPr>
        <sz val="9"/>
        <color theme="1"/>
        <rFont val="Trebuchet MS"/>
        <family val="2"/>
      </rPr>
      <t xml:space="preserve">
IMF , CFU, Taxe d'apprentissage , patente professionnelle ,droits d'enregitrements , contribution a la formation professionnelle ; retenue a la source (transfert d'équipements ), taxes d'entrée y compris la TVA sur les importations du matériel</t>
    </r>
  </si>
  <si>
    <t>Art 2,2,1 et 2,2,2
Annexe 1</t>
  </si>
  <si>
    <r>
      <rPr>
        <u/>
        <sz val="9"/>
        <color theme="1"/>
        <rFont val="Trebuchet MS"/>
        <family val="2"/>
      </rPr>
      <t>Phase d 'exploitation :</t>
    </r>
    <r>
      <rPr>
        <sz val="9"/>
        <color theme="1"/>
        <rFont val="Trebuchet MS"/>
        <family val="2"/>
      </rPr>
      <t xml:space="preserve">
-Patente professionnelle 
-CFU
-taxes et redevance ferroviaires 
-Contribution a la formation pro 1,5%
-Retenue a la source 
-droits d'enregistrements 
-IS (exo 10 ans ) réduction 70% 5 ANS puis 20%
-droits de douanes </t>
    </r>
  </si>
  <si>
    <t xml:space="preserve">Art 2,3,2 et 2,3,3 
Annexe 1 </t>
  </si>
  <si>
    <t xml:space="preserve">Convention relative aux infrastructures Portuaires+ Décret  PIN D/2020/194/PRG/SGG  </t>
  </si>
  <si>
    <t>Winning Consortium Siamndou Port SAU</t>
  </si>
  <si>
    <t>Société Portuaire</t>
  </si>
  <si>
    <t>Client Fondamental</t>
  </si>
  <si>
    <t>Art 25,5</t>
  </si>
  <si>
    <t>Art 23,2</t>
  </si>
  <si>
    <t>Art 2,2,1 et 2,2,2 
Annexe 1</t>
  </si>
  <si>
    <r>
      <rPr>
        <u/>
        <sz val="9"/>
        <color theme="1"/>
        <rFont val="Trebuchet MS"/>
        <family val="2"/>
      </rPr>
      <t>Phase d 'exploitation :</t>
    </r>
    <r>
      <rPr>
        <sz val="9"/>
        <color theme="1"/>
        <rFont val="Trebuchet MS"/>
        <family val="2"/>
      </rPr>
      <t xml:space="preserve">
-Patente professionnelle 
-CFU
-taxes et redevance Portuaires 
-Contribution a la formation pro 1,5%
-Retenue a la source 
-droits d'enregistrements 
-IS (exo 8 ans ) réduction 70% 4 ANS puis 20%
-droits de douanes </t>
    </r>
  </si>
  <si>
    <t xml:space="preserve">Convention  miniére d'exploitation </t>
  </si>
  <si>
    <t>Monts Nimba</t>
  </si>
  <si>
    <t>EURONIMBA LTD</t>
  </si>
  <si>
    <t>Investisseur</t>
  </si>
  <si>
    <t>Art 9,1</t>
  </si>
  <si>
    <t>Société des mines de fer de Guinée</t>
  </si>
  <si>
    <t xml:space="preserve">Renouvellement </t>
  </si>
  <si>
    <t>Participation Gratuite : 15% dans le capital de la société</t>
  </si>
  <si>
    <t xml:space="preserve">Art 27 </t>
  </si>
  <si>
    <t xml:space="preserve">Stabilisation du régime finanier et douanier </t>
  </si>
  <si>
    <t>Annexe 4</t>
  </si>
  <si>
    <t>Taxe miniére (3,5%/ prix de tonne exporté)</t>
  </si>
  <si>
    <t>Taux forfaitaire de 6% sur les salaires</t>
  </si>
  <si>
    <t xml:space="preserve">Contribution a la formation 1,5% masse salariale </t>
  </si>
  <si>
    <t>Retenue a la source 10%</t>
  </si>
  <si>
    <r>
      <rPr>
        <u/>
        <sz val="9"/>
        <color theme="1"/>
        <rFont val="Trebuchet MS"/>
        <family val="2"/>
      </rPr>
      <t xml:space="preserve">Redevance additionelle (par Tonne de produit) </t>
    </r>
    <r>
      <rPr>
        <sz val="9"/>
        <color theme="1"/>
        <rFont val="Trebuchet MS"/>
        <family val="2"/>
      </rPr>
      <t xml:space="preserve">:
Prix produits / Tonne : &lt; 47,5 USD = 0,825 USD
Prix produits / Tonne : &lt;entre 47,51 ET 72 USD = 1,5 USD
Prix produits / Tonne : &gt; 72 USD = 2 USD </t>
    </r>
  </si>
  <si>
    <t>Art 42,2</t>
  </si>
  <si>
    <t>Contribution au developement local 0,5%</t>
  </si>
  <si>
    <t xml:space="preserve">impot sur BIC (35% du bénéfice imposable) </t>
  </si>
  <si>
    <t>Phase de recherche et Construction :
-IMF
-Contributions des patentes 
-Droits d'enregistrements 
-taxes fonciéres
-BIC 10 ans 
-IRVM
-Taxes sur les produits de carriére
-Redevances superficiaires</t>
  </si>
  <si>
    <t>Bloc/Zone</t>
  </si>
  <si>
    <t>Convention pour la construction et l'exploitation d'une raffinerie</t>
  </si>
  <si>
    <t>Alumine</t>
  </si>
  <si>
    <t>Territoire Guinéen (Art 5)</t>
  </si>
  <si>
    <t>Winning Consortium Alumina PTE TLD</t>
  </si>
  <si>
    <t>Durée : 33 ans</t>
  </si>
  <si>
    <t>Art 2,10,4</t>
  </si>
  <si>
    <t>Art 9,3 d</t>
  </si>
  <si>
    <t>Participation gratuite : 5% dans le capital du propriétaire de l'infrastructure</t>
  </si>
  <si>
    <t>Section 8 -Art 23</t>
  </si>
  <si>
    <t>Régime Fiscal et Douanier</t>
  </si>
  <si>
    <t>contribution au developpement local 5%</t>
  </si>
  <si>
    <t>Art 2,1 Annexe 1</t>
  </si>
  <si>
    <t xml:space="preserve">Taxes sur les substances de carriéres </t>
  </si>
  <si>
    <t>Code minier Art 162</t>
  </si>
  <si>
    <t>IS 30% phase d'exploitation</t>
  </si>
  <si>
    <t>Code minier Art 176</t>
  </si>
  <si>
    <t xml:space="preserve">IMF 1,5% </t>
  </si>
  <si>
    <t xml:space="preserve">Art 2,4,3 Annexe 1 </t>
  </si>
  <si>
    <t>IVRM 10%</t>
  </si>
  <si>
    <t xml:space="preserve">Art 2,6 Annexe 1 </t>
  </si>
  <si>
    <t xml:space="preserve">Versement forfaitaire de 6% sur les salaires </t>
  </si>
  <si>
    <t xml:space="preserve">Art 2,7,1 Annexe 1 </t>
  </si>
  <si>
    <t>contribution a la formation pro 1,5%</t>
  </si>
  <si>
    <t xml:space="preserve">Art 2,7,2 Annexe 1 </t>
  </si>
  <si>
    <t>TVA 18%</t>
  </si>
  <si>
    <t>Art 2,11 Annexe 1</t>
  </si>
  <si>
    <t>retenue a la source (10% et 15%)</t>
  </si>
  <si>
    <t xml:space="preserve">Art 2,10,1 Annexe 1 </t>
  </si>
  <si>
    <t>Droits de douane 5%</t>
  </si>
  <si>
    <t>Art 3,2,2 Annexe 1</t>
  </si>
  <si>
    <t>Avantages Fiscaux et Douaniers</t>
  </si>
  <si>
    <t>-IMF (8 ans)
-IS ( 8 ans) 50% 6 EXERCICES SUIVANTS
-Droits d'enregistrements ( construction et extension)
-Taxes fonciéres (20 ans)
-TVA phase de construction  
-IRVM (8 ans)</t>
  </si>
  <si>
    <t>Annexe 1</t>
  </si>
  <si>
    <t xml:space="preserve">Convention relative aux infrastructures Portuaires </t>
  </si>
  <si>
    <t>Boffa Nord &amp; Boffa Sud</t>
  </si>
  <si>
    <t>Chalco guinea Company SA</t>
  </si>
  <si>
    <t xml:space="preserve">Durée : toute la periode du titre d'exploitation </t>
  </si>
  <si>
    <t>Art 5,3</t>
  </si>
  <si>
    <t>Chalco Hong Kong LTD</t>
  </si>
  <si>
    <t>Renouvellement : 15 ans</t>
  </si>
  <si>
    <t>Art 5,2,3</t>
  </si>
  <si>
    <t>Participation gratuite : 15% dans le capital de la société</t>
  </si>
  <si>
    <t>Art 20,1</t>
  </si>
  <si>
    <t xml:space="preserve">Participation Supplémentaire 20%  (option) </t>
  </si>
  <si>
    <t>Art 20,2</t>
  </si>
  <si>
    <t>Régime Fiscal &amp; Douanier</t>
  </si>
  <si>
    <t>Stabilisation du régime fiscal et douanier 15 ans</t>
  </si>
  <si>
    <t>Taxe sur l'extraction des substance miniéres</t>
  </si>
  <si>
    <t>Code minier Art 161</t>
  </si>
  <si>
    <t>Taxe sur l'exportation des substance miniéres</t>
  </si>
  <si>
    <t>Code minier Art 163</t>
  </si>
  <si>
    <t xml:space="preserve">Convention </t>
  </si>
  <si>
    <t xml:space="preserve">Taxe sur les substance de carriéres </t>
  </si>
  <si>
    <t xml:space="preserve">Annexe </t>
  </si>
  <si>
    <t>Contribution au developpement local 0,5% du CA</t>
  </si>
  <si>
    <t>Annexe 1 Art 2,1,4</t>
  </si>
  <si>
    <t xml:space="preserve">Redevances superficiaires </t>
  </si>
  <si>
    <t xml:space="preserve">Code minier Art 160 </t>
  </si>
  <si>
    <t>Impot BIC 30%</t>
  </si>
  <si>
    <t>Annexe 1 Art 2,2,1</t>
  </si>
  <si>
    <t>IRVM 10%</t>
  </si>
  <si>
    <t>Annexe 1 Art 2,3</t>
  </si>
  <si>
    <t xml:space="preserve">Versement F 6% au titres des salaires </t>
  </si>
  <si>
    <t>Annexe 1 Art 2,4,1</t>
  </si>
  <si>
    <t>Contribution a la formation pro 1,5%</t>
  </si>
  <si>
    <t>Annexe 1 Art 2,4,2</t>
  </si>
  <si>
    <t>retenue a l a source( 10 et 15%)</t>
  </si>
  <si>
    <t>Annexe 1 Art 2,9</t>
  </si>
  <si>
    <t>Contribution au developpement local (8 ans)</t>
  </si>
  <si>
    <t xml:space="preserve">Annexe 1 </t>
  </si>
  <si>
    <t xml:space="preserve">TVA sur les importations </t>
  </si>
  <si>
    <t>Contribution fonciére (15 ans )</t>
  </si>
  <si>
    <t>Santou 2 &amp; Houda</t>
  </si>
  <si>
    <t xml:space="preserve">La société miniére de Boké </t>
  </si>
  <si>
    <t>Renouvellement : automatique 25 ans puis 10 ans</t>
  </si>
  <si>
    <t>Art 18,3</t>
  </si>
  <si>
    <t>Participation gratuite : 10% dans le capital de la société</t>
  </si>
  <si>
    <t>Art 18</t>
  </si>
  <si>
    <t>Stanbilisation du régime fiscal et douanier 25 ans</t>
  </si>
  <si>
    <t>Annexe 1 Art 2,2</t>
  </si>
  <si>
    <t>Droits fixes</t>
  </si>
  <si>
    <t xml:space="preserve">Art 159 Code minier </t>
  </si>
  <si>
    <t xml:space="preserve">Redevanaces superficiaires </t>
  </si>
  <si>
    <t xml:space="preserve">Art 160 Code minier </t>
  </si>
  <si>
    <t>IMF 1,5 %</t>
  </si>
  <si>
    <t xml:space="preserve">Art 2,6,3 Annexe 1 </t>
  </si>
  <si>
    <t>Annexe 1 Art 2,6,7 d</t>
  </si>
  <si>
    <t>Retenue a la source 10% et 15%</t>
  </si>
  <si>
    <t>Annexe 1 Art 2,6,7 h</t>
  </si>
  <si>
    <t>IS 30%</t>
  </si>
  <si>
    <t>Annexe 1 Art 2,6</t>
  </si>
  <si>
    <t>Droits douaniers 5,6 % (Phase d'exploitation )</t>
  </si>
  <si>
    <t>Annexe 1 Art 3,2,2</t>
  </si>
  <si>
    <t>Droits d'enregistrements (Phase construction et extension)
-Contribution a la formation professionnelle  
-CFU (5ans)
-TVA sur les importations</t>
  </si>
  <si>
    <t xml:space="preserve">Convention relative aux infrastructures ferroviaires </t>
  </si>
  <si>
    <t>Winning Consortium  RAILWAY PTE LTD</t>
  </si>
  <si>
    <t>L'investisseur</t>
  </si>
  <si>
    <t>Art 3 a</t>
  </si>
  <si>
    <t xml:space="preserve">Winning Consortium RAILWAY GUINEA SA </t>
  </si>
  <si>
    <t>propriétaire de l'infrastructure</t>
  </si>
  <si>
    <t>Art 3 b</t>
  </si>
  <si>
    <t>Société miniére de Boké</t>
  </si>
  <si>
    <t xml:space="preserve">Client principale </t>
  </si>
  <si>
    <t>Art 14,3</t>
  </si>
  <si>
    <t xml:space="preserve">Annexe 2 Art 2,3 </t>
  </si>
  <si>
    <t xml:space="preserve">Contribution au dévloppement Communautaire 0,5% du CA </t>
  </si>
  <si>
    <t>Annexe 2 Art 2,2,3</t>
  </si>
  <si>
    <t>Avantages Fiscaux &amp; Douaniers</t>
  </si>
  <si>
    <r>
      <rPr>
        <u/>
        <sz val="9"/>
        <color theme="1"/>
        <rFont val="Trebuchet MS"/>
        <family val="2"/>
      </rPr>
      <t xml:space="preserve">Phase d'étude, Construction,extension : </t>
    </r>
    <r>
      <rPr>
        <sz val="9"/>
        <color theme="1"/>
        <rFont val="Trebuchet MS"/>
        <family val="2"/>
      </rPr>
      <t xml:space="preserve">
IMF , CFU, Taxe d'apprentissage , patente professionnelle ,droits d'enregitrements , contribution a la formation professionnelle ; IS ,Retenue a la source , Droits d'entrée y compris TVA pour les importations des matériels
</t>
    </r>
  </si>
  <si>
    <t>2,2,1 et 2,2,2 annx 2</t>
  </si>
  <si>
    <r>
      <rPr>
        <u/>
        <sz val="9"/>
        <color theme="1"/>
        <rFont val="Trebuchet MS"/>
        <family val="2"/>
      </rPr>
      <t>Phase d 'exploitation :</t>
    </r>
    <r>
      <rPr>
        <sz val="9"/>
        <color theme="1"/>
        <rFont val="Trebuchet MS"/>
        <family val="2"/>
      </rPr>
      <t xml:space="preserve">
-Patente professionnelle 
-CFU
-Impot sur les plus values de cession d'actions
-droits d'enregistrements 
-IS (8ans)
-IMF (8 ans) 
-Report déficitaire (8 ans)</t>
    </r>
  </si>
  <si>
    <t>2,2,3 annexe 2</t>
  </si>
  <si>
    <t>Allégement :</t>
  </si>
  <si>
    <t xml:space="preserve">Taxes douaniéres : 
-Taxe d'enregistrements 0,5%
-Redevance de traitement de liquidation 2%
-Prélevement communautaire 0,25% 
-Droits de douane 5,6% sur les importations </t>
  </si>
  <si>
    <t>Annexe 1 Art 2,2,2</t>
  </si>
  <si>
    <t>IS : 
Réduction 50 % (6 exercices fiscaux )
Rédution 25 % (4 exercices fiscaux</t>
  </si>
  <si>
    <t>IMF 1,5% (a partir du 9 éme exercice fiscal )</t>
  </si>
  <si>
    <t>Dynamic mining</t>
  </si>
  <si>
    <t>Non défini</t>
  </si>
  <si>
    <t>Durée : 15 ans</t>
  </si>
  <si>
    <t>Art 9</t>
  </si>
  <si>
    <t>International Gulf FZC</t>
  </si>
  <si>
    <t>Art 39</t>
  </si>
  <si>
    <t>Art 21,1</t>
  </si>
  <si>
    <t>20% Supplémentaire</t>
  </si>
  <si>
    <t>Art 21,2</t>
  </si>
  <si>
    <t xml:space="preserve">Régime Fiscal et Douanier </t>
  </si>
  <si>
    <t>Stabilisation du régime fiscal et douanier</t>
  </si>
  <si>
    <t>Art 34</t>
  </si>
  <si>
    <t>Taxes minieres (Redevances superficiaires , Taxe d'extraction , taxes d'exportation …°</t>
  </si>
  <si>
    <t xml:space="preserve">Art 35 </t>
  </si>
  <si>
    <t>TVA</t>
  </si>
  <si>
    <t>IS</t>
  </si>
  <si>
    <t>IRVM</t>
  </si>
  <si>
    <t>IMF</t>
  </si>
  <si>
    <t>Retenue a la source</t>
  </si>
  <si>
    <t>Contribution au devloppement local</t>
  </si>
  <si>
    <t>Contribution a la formation professionnelle 1,5%</t>
  </si>
  <si>
    <t xml:space="preserve">Redevances de traitement des liquidations 
Taxes d'enregistrements 
Prélévement communautaire </t>
  </si>
  <si>
    <t>Art 36,1</t>
  </si>
  <si>
    <t>Convention portant sur la Rafinnerie d'Alumine de Débele et la mine de Bauxite de Garafiri</t>
  </si>
  <si>
    <t>Alumine &amp; Bauxite</t>
  </si>
  <si>
    <t>Debele &amp; Garafiri</t>
  </si>
  <si>
    <t>Société des bauxite de Guinée</t>
  </si>
  <si>
    <t xml:space="preserve">Société miniére </t>
  </si>
  <si>
    <t>SBG Bauxite and Alumina N.V</t>
  </si>
  <si>
    <t xml:space="preserve">Renouvellement : méme periode </t>
  </si>
  <si>
    <t>Art 3,3</t>
  </si>
  <si>
    <t>Art 26,1</t>
  </si>
  <si>
    <t>Participation non Contributive : 5% dans le capital de la société</t>
  </si>
  <si>
    <t>Art 13,1</t>
  </si>
  <si>
    <t>Participation  Contributive : 20% dans le capital de la société (maximum)</t>
  </si>
  <si>
    <t>Art 13,2</t>
  </si>
  <si>
    <t xml:space="preserve">Régime Fiscal et douanier </t>
  </si>
  <si>
    <t>Annexe C</t>
  </si>
  <si>
    <t>Droits fixes , Redevance superficiaires , Taxes sur l'extraction des  substances miniéres  ,Taxe a l'exportation des substances miniéres , taxes sur les substances de carrieres .</t>
  </si>
  <si>
    <t xml:space="preserve">Contribution au devloppement local 0,5% de la production annuelle </t>
  </si>
  <si>
    <t>Impot BIC 30 %</t>
  </si>
  <si>
    <t>retenue a la source 10%</t>
  </si>
  <si>
    <t>Droits de douane forfaitaire 6,5%</t>
  </si>
  <si>
    <t xml:space="preserve">Avantages Fiscaux et Douaniers </t>
  </si>
  <si>
    <t>-IMF (6ans)
- Impot sur BIC (6ans) 
-CFU
-Contribution des patentes 
-TVA &amp; Droits de douanes ( Phase de développement)</t>
  </si>
  <si>
    <t>Déclaration initiale (en Milliards GNF)</t>
  </si>
  <si>
    <t>Ajustement (en Milliards GNF)</t>
  </si>
  <si>
    <t>Entité publique</t>
  </si>
  <si>
    <t xml:space="preserve">Niveau de centralisation des données sur les paiements pour le flux concerné </t>
  </si>
  <si>
    <t>Note</t>
  </si>
  <si>
    <t>Ecart</t>
  </si>
  <si>
    <t>Ajustement de l'entité publique en % de sa déclaration initiale</t>
  </si>
  <si>
    <t>DGI</t>
  </si>
  <si>
    <t>•Toutes les données reportées sont centralisées au niveau de l'entité publique</t>
  </si>
  <si>
    <t xml:space="preserve">-   </t>
  </si>
  <si>
    <t>BNE</t>
  </si>
  <si>
    <t xml:space="preserve">DNM </t>
  </si>
  <si>
    <t>CNSS</t>
  </si>
  <si>
    <t>SONAP</t>
  </si>
  <si>
    <t>Déclaration finale (en Milliards GNF)</t>
  </si>
  <si>
    <t xml:space="preserve">Niveau d’automatisation pour la génération des données par l’entité publique </t>
  </si>
  <si>
    <t>Ecart résiduel</t>
  </si>
  <si>
    <t>niveau de l’écart résiduel non ajusté  en % e la déclaration de l'entreprise publique</t>
  </si>
  <si>
    <r>
      <t>•</t>
    </r>
    <r>
      <rPr>
        <sz val="10"/>
        <color rgb="FF3C3430"/>
        <rFont val="Trebuchet MS"/>
        <family val="2"/>
      </rPr>
      <t>Les données sont exhaustivement issues d’un système d’information</t>
    </r>
  </si>
  <si>
    <r>
      <t>•</t>
    </r>
    <r>
      <rPr>
        <sz val="10"/>
        <color rgb="FF3C3430"/>
        <rFont val="Trebuchet MS"/>
        <family val="2"/>
      </rPr>
      <t xml:space="preserve">Les données sont exhaustivement générées d’une façon manuelle </t>
    </r>
  </si>
  <si>
    <t>Entité publiques</t>
  </si>
  <si>
    <t>Déclaration Entreprise</t>
  </si>
  <si>
    <t>Déclaration de l'entité publique</t>
  </si>
  <si>
    <t>Ecart en Valeur</t>
  </si>
  <si>
    <t>Ecart en %</t>
  </si>
  <si>
    <t xml:space="preserve">                      -   </t>
  </si>
  <si>
    <t xml:space="preserve">                    -   </t>
  </si>
  <si>
    <t>Organismes collecteurs</t>
  </si>
  <si>
    <t xml:space="preserve">Niveau de ponctualité des rapports de certification </t>
  </si>
  <si>
    <t xml:space="preserve">Résultat de certification des déclarations ITIE des exercices antérieures </t>
  </si>
  <si>
    <t>L’actuelle Cour des comptes (CC) a démarré ses activités en février 2016, succédant à la Chambre des comptes de la Cour suprême
(CCCS). Depuis sa mise en place, la Cour des Comptes a délivré une déclaration générale de conformité pour les exercices budgétaires 2014, 2015, 2016 et 2017 .
Selon la direction de la communication et de l’information de la présidence, le président de la cour des comptes a présenté le 11/02/2022, les rapports annuels de son institution au Chef de l’Etat. Il s’agit des rapports d'activités de 2017, 2018, 2019 et 2020
ØConclusion : Les rapports de certification des comptes des entités publiques sont élaborés et publiés périodiquement à l’exception de 2021</t>
  </si>
  <si>
    <t>Recettes certifiées par la cour des comptes sans réserves (Acte de certification n°001 &amp; n°002/2022/CHCE/CC du 29/03/2022)</t>
  </si>
  <si>
    <t>Recettes non certifiées</t>
  </si>
  <si>
    <t xml:space="preserve">Collectivités </t>
  </si>
  <si>
    <t>N/a : exclusion de certification</t>
  </si>
  <si>
    <t>Recettes certifiées par la CAC</t>
  </si>
  <si>
    <t>Publication régulière : rapport CAC sans réserves.
Conclusion : Les rapports d’audit des commissaires aux comptes sont élaborés et publiés</t>
  </si>
  <si>
    <t>Information indisponible et non communiquée pour 2021 (problème d’accès aux données publiées) : rapports de certification 2019 et 2020 communiqués dans le cadre du rapport ITIE 2019 - 2020</t>
  </si>
  <si>
    <t>Annexe 3 - Structure de capital et propriété effective des sociétés retenues dans le périmètre de rapprochement</t>
  </si>
  <si>
    <t>Annexe 23 – Formulaire de déclaration de propriété effective</t>
  </si>
  <si>
    <t xml:space="preserve">Annexe 3 - Structure de capital et propriété effective des sociétés retenues dans le périmètre de rapprochement </t>
  </si>
  <si>
    <t>Information sur la propriété effective</t>
  </si>
  <si>
    <t>Evaluation globale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</si>
</sst>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 _€_-;\-* #,##0.00\ _€_-;_-* &quot;-&quot;??\ _€_-;_-@_-"/>
    <numFmt numFmtId="165" formatCode="0.0000000"/>
    <numFmt numFmtId="166" formatCode="#,##0_);\(&quot;&quot;#,##0\);_-* &quot;-&quot;??_-;_-@_-"/>
    <numFmt numFmtId="167" formatCode="_-* #,##0\ _€_-;\-* #,##0\ _€_-;_-* &quot;-&quot;??\ _€_-;_-@_-"/>
    <numFmt numFmtId="168" formatCode="dd/mm/yy;@"/>
    <numFmt numFmtId="169" formatCode="_(* #,##0.00_);_(* \(#,##0.00\);_(* &quot;-&quot;??_);_(@_)"/>
    <numFmt numFmtId="170" formatCode="_-* #,##0_-;\-* #,##0_-;_-* &quot;-&quot;??_-;_-@_-"/>
    <numFmt numFmtId="171" formatCode="#,##0.0000"/>
    <numFmt numFmtId="172" formatCode="_(* #,##0_);_(* \(#,##0\);_(* &quot;-&quot;??_);_(@_)"/>
    <numFmt numFmtId="173" formatCode="[$-10409]dd/mm/yyyy"/>
  </numFmts>
  <fonts count="84" x14ac:knownFonts="1">
    <font>
      <sz val="11"/>
      <color theme="1"/>
      <name val="Calibri"/>
      <family val="2"/>
      <scheme val="minor"/>
    </font>
    <font>
      <sz val="11"/>
      <color theme="1"/>
      <name val="Calibri"/>
      <family val="2"/>
      <scheme val="minor"/>
    </font>
    <font>
      <b/>
      <sz val="7.5"/>
      <color rgb="FFFFFFFF"/>
      <name val="Trebuchet MS"/>
      <family val="2"/>
    </font>
    <font>
      <b/>
      <sz val="11"/>
      <color rgb="FFED1A3B"/>
      <name val="Trebuchet MS"/>
      <family val="2"/>
    </font>
    <font>
      <sz val="10"/>
      <color theme="1"/>
      <name val="Trebuchet MS"/>
      <family val="2"/>
    </font>
    <font>
      <b/>
      <sz val="8"/>
      <color rgb="FFFFFFFF"/>
      <name val="Trebuchet MS"/>
      <family val="2"/>
    </font>
    <font>
      <sz val="9"/>
      <color theme="1"/>
      <name val="Trebuchet MS"/>
      <family val="2"/>
    </font>
    <font>
      <b/>
      <sz val="9"/>
      <color rgb="FFFFFFFF"/>
      <name val="Trebuchet MS"/>
      <family val="2"/>
    </font>
    <font>
      <sz val="9"/>
      <color rgb="FF3B3838"/>
      <name val="Trebuchet MS"/>
      <family val="2"/>
    </font>
    <font>
      <sz val="9"/>
      <color rgb="FFFF0000"/>
      <name val="Trebuchet MS"/>
      <family val="2"/>
    </font>
    <font>
      <sz val="10"/>
      <color theme="1"/>
      <name val="Calibri"/>
      <family val="2"/>
    </font>
    <font>
      <b/>
      <sz val="8"/>
      <color rgb="FFFFFFFF"/>
      <name val="Arial"/>
      <family val="2"/>
    </font>
    <font>
      <sz val="8"/>
      <name val="Arial"/>
      <family val="2"/>
    </font>
    <font>
      <b/>
      <sz val="8"/>
      <name val="Arial"/>
      <family val="2"/>
    </font>
    <font>
      <sz val="10"/>
      <name val="Arial"/>
      <family val="2"/>
    </font>
    <font>
      <b/>
      <sz val="8"/>
      <color theme="0"/>
      <name val="Arial"/>
      <family val="2"/>
    </font>
    <font>
      <sz val="10"/>
      <color theme="1"/>
      <name val="Arial"/>
      <family val="2"/>
    </font>
    <font>
      <b/>
      <u/>
      <sz val="8"/>
      <name val="Arial"/>
      <family val="2"/>
    </font>
    <font>
      <b/>
      <sz val="8"/>
      <color rgb="FFFF0000"/>
      <name val="Arial"/>
      <family val="2"/>
    </font>
    <font>
      <sz val="8"/>
      <color theme="1"/>
      <name val="Arial"/>
      <family val="2"/>
    </font>
    <font>
      <b/>
      <sz val="8"/>
      <color rgb="FF0070C0"/>
      <name val="Arial"/>
      <family val="2"/>
    </font>
    <font>
      <sz val="8"/>
      <color indexed="8"/>
      <name val="Arial"/>
      <family val="2"/>
    </font>
    <font>
      <b/>
      <u val="singleAccounting"/>
      <sz val="8"/>
      <name val="Arial"/>
      <family val="2"/>
    </font>
    <font>
      <sz val="8"/>
      <color theme="1"/>
      <name val="Trebuchet MS"/>
      <family val="2"/>
    </font>
    <font>
      <sz val="8"/>
      <color rgb="FF000000"/>
      <name val="Trebuchet MS"/>
      <family val="2"/>
    </font>
    <font>
      <b/>
      <sz val="9"/>
      <color rgb="FFED1A3B"/>
      <name val="Trebuchet MS"/>
      <family val="2"/>
    </font>
    <font>
      <b/>
      <sz val="9"/>
      <color theme="0"/>
      <name val="Trebuchet MS"/>
      <family val="2"/>
    </font>
    <font>
      <sz val="9"/>
      <color rgb="FF000000"/>
      <name val="Trebuchet MS"/>
      <family val="2"/>
    </font>
    <font>
      <sz val="9"/>
      <name val="Trebuchet MS"/>
      <family val="2"/>
    </font>
    <font>
      <sz val="9"/>
      <color rgb="FFFFFFFF"/>
      <name val="Trebuchet MS"/>
      <family val="2"/>
    </font>
    <font>
      <b/>
      <sz val="8"/>
      <color theme="1"/>
      <name val="Trebuchet MS"/>
      <family val="2"/>
    </font>
    <font>
      <sz val="8"/>
      <color rgb="FFFF0000"/>
      <name val="Trebuchet MS"/>
      <family val="2"/>
    </font>
    <font>
      <b/>
      <sz val="8"/>
      <color rgb="FFFF0000"/>
      <name val="Trebuchet MS"/>
      <family val="2"/>
    </font>
    <font>
      <b/>
      <sz val="8"/>
      <color theme="0" tint="-0.34998626667073579"/>
      <name val="Trebuchet MS"/>
      <family val="2"/>
    </font>
    <font>
      <b/>
      <sz val="8"/>
      <color theme="0"/>
      <name val="Trebuchet MS"/>
      <family val="2"/>
    </font>
    <font>
      <sz val="8"/>
      <color theme="0"/>
      <name val="Trebuchet MS"/>
      <family val="2"/>
    </font>
    <font>
      <sz val="8"/>
      <color theme="0" tint="-0.34998626667073579"/>
      <name val="Trebuchet MS"/>
      <family val="2"/>
    </font>
    <font>
      <sz val="9"/>
      <color theme="2" tint="-0.749992370372631"/>
      <name val="Trebuchet MS"/>
      <family val="2"/>
    </font>
    <font>
      <sz val="11"/>
      <color theme="1"/>
      <name val="Trebuchet MS"/>
      <family val="2"/>
    </font>
    <font>
      <b/>
      <sz val="9"/>
      <color theme="1"/>
      <name val="Trebuchet MS"/>
      <family val="2"/>
    </font>
    <font>
      <b/>
      <sz val="9"/>
      <color theme="2" tint="-0.749992370372631"/>
      <name val="Trebuchet MS"/>
      <family val="2"/>
    </font>
    <font>
      <b/>
      <sz val="9"/>
      <color rgb="FF3B3838"/>
      <name val="Trebuchet MS"/>
      <family val="2"/>
    </font>
    <font>
      <sz val="9"/>
      <color rgb="FF404040"/>
      <name val="Trebuchet MS"/>
      <family val="2"/>
    </font>
    <font>
      <b/>
      <sz val="8"/>
      <color theme="2" tint="-0.749992370372631"/>
      <name val="Arial"/>
      <family val="2"/>
    </font>
    <font>
      <sz val="8"/>
      <color theme="2" tint="-0.749992370372631"/>
      <name val="Arial"/>
      <family val="2"/>
    </font>
    <font>
      <sz val="12"/>
      <color theme="1"/>
      <name val="Times New Roman"/>
      <family val="1"/>
    </font>
    <font>
      <sz val="9"/>
      <color rgb="FF3C3430"/>
      <name val="Trebuchet MS"/>
      <family val="2"/>
    </font>
    <font>
      <vertAlign val="superscript"/>
      <sz val="12"/>
      <color theme="1"/>
      <name val="Times New Roman"/>
      <family val="1"/>
    </font>
    <font>
      <sz val="12"/>
      <name val="Times New Roman"/>
      <family val="1"/>
    </font>
    <font>
      <sz val="8"/>
      <color theme="1"/>
      <name val="Calibri"/>
      <family val="2"/>
      <scheme val="minor"/>
    </font>
    <font>
      <sz val="8"/>
      <name val="Times New Roman"/>
      <family val="1"/>
    </font>
    <font>
      <sz val="8"/>
      <color theme="1"/>
      <name val="Times New Roman"/>
      <family val="1"/>
    </font>
    <font>
      <vertAlign val="superscript"/>
      <sz val="8"/>
      <color theme="1"/>
      <name val="Times New Roman"/>
      <family val="1"/>
    </font>
    <font>
      <vertAlign val="superscript"/>
      <sz val="8"/>
      <name val="Times New Roman"/>
      <family val="1"/>
    </font>
    <font>
      <vertAlign val="superscript"/>
      <sz val="8"/>
      <color indexed="8"/>
      <name val="Times New Roman"/>
      <family val="1"/>
    </font>
    <font>
      <b/>
      <sz val="8"/>
      <color theme="0"/>
      <name val="Times New Roman"/>
      <family val="1"/>
    </font>
    <font>
      <sz val="9"/>
      <color theme="0"/>
      <name val="Trebuchet MS"/>
      <family val="2"/>
    </font>
    <font>
      <u/>
      <sz val="11"/>
      <color theme="10"/>
      <name val="Calibri"/>
      <family val="2"/>
      <scheme val="minor"/>
    </font>
    <font>
      <b/>
      <sz val="10"/>
      <color theme="0"/>
      <name val="Trebuchet MS"/>
      <family val="2"/>
    </font>
    <font>
      <u/>
      <sz val="11"/>
      <color theme="10"/>
      <name val="Trebuchet MS"/>
      <family val="2"/>
    </font>
    <font>
      <u/>
      <sz val="9"/>
      <color theme="10"/>
      <name val="Trebuchet MS"/>
      <family val="2"/>
    </font>
    <font>
      <sz val="9"/>
      <color indexed="8"/>
      <name val="Trebuchet MS"/>
      <family val="2"/>
    </font>
    <font>
      <b/>
      <u/>
      <sz val="9"/>
      <color theme="1"/>
      <name val="Trebuchet MS"/>
      <family val="2"/>
    </font>
    <font>
      <i/>
      <sz val="9"/>
      <color theme="1"/>
      <name val="Trebuchet MS"/>
      <family val="2"/>
    </font>
    <font>
      <u/>
      <sz val="9"/>
      <color theme="1"/>
      <name val="Trebuchet MS"/>
      <family val="2"/>
    </font>
    <font>
      <b/>
      <sz val="11"/>
      <color theme="4" tint="-0.249977111117893"/>
      <name val="Trebuchet MS"/>
      <family val="2"/>
    </font>
    <font>
      <sz val="12"/>
      <color theme="1"/>
      <name val="Trebuchet MS"/>
      <family val="2"/>
    </font>
    <font>
      <sz val="8"/>
      <color rgb="FF3B3838"/>
      <name val="Trebuchet MS"/>
      <family val="2"/>
    </font>
    <font>
      <b/>
      <sz val="12"/>
      <color theme="0"/>
      <name val="Times New Roman"/>
      <family val="1"/>
    </font>
    <font>
      <sz val="18"/>
      <name val="Arial"/>
      <family val="2"/>
    </font>
    <font>
      <b/>
      <sz val="11"/>
      <color rgb="FFFFFFFF"/>
      <name val="Trebuchet MS"/>
      <family val="2"/>
    </font>
    <font>
      <sz val="9"/>
      <color rgb="FF332C28"/>
      <name val="Trebuchet MS"/>
      <family val="2"/>
    </font>
    <font>
      <b/>
      <sz val="9"/>
      <color rgb="FF000000"/>
      <name val="Trebuchet MS"/>
      <family val="2"/>
    </font>
    <font>
      <b/>
      <sz val="10"/>
      <color rgb="FFFFFFFF"/>
      <name val="Trebuchet MS"/>
      <family val="2"/>
    </font>
    <font>
      <sz val="9"/>
      <name val="Arial"/>
      <family val="2"/>
    </font>
    <font>
      <sz val="10"/>
      <color rgb="FF332C28"/>
      <name val="Trebuchet MS"/>
      <family val="2"/>
    </font>
    <font>
      <sz val="10"/>
      <name val="Trebuchet MS"/>
      <family val="2"/>
    </font>
    <font>
      <b/>
      <sz val="10"/>
      <color rgb="FF3C3430"/>
      <name val="Trebuchet MS"/>
      <family val="2"/>
    </font>
    <font>
      <sz val="10"/>
      <color rgb="FF3C3430"/>
      <name val="Trebuchet MS"/>
      <family val="2"/>
    </font>
    <font>
      <b/>
      <sz val="10"/>
      <color rgb="FF655851"/>
      <name val="Trebuchet MS"/>
      <family val="2"/>
    </font>
    <font>
      <b/>
      <sz val="9"/>
      <color rgb="FF3C3430"/>
      <name val="Trebuchet MS"/>
      <family val="2"/>
    </font>
    <font>
      <sz val="9"/>
      <color rgb="FF47362E"/>
      <name val="Trebuchet MS"/>
      <family val="2"/>
    </font>
    <font>
      <b/>
      <sz val="9"/>
      <color rgb="FF47362E"/>
      <name val="Trebuchet MS"/>
      <family val="2"/>
    </font>
    <font>
      <b/>
      <sz val="9"/>
      <color rgb="FFFF0000"/>
      <name val="Arial"/>
      <family val="2"/>
    </font>
  </fonts>
  <fills count="18">
    <fill>
      <patternFill patternType="none"/>
    </fill>
    <fill>
      <patternFill patternType="gray125"/>
    </fill>
    <fill>
      <patternFill patternType="solid">
        <fgColor rgb="FF657C91"/>
        <bgColor indexed="64"/>
      </patternFill>
    </fill>
    <fill>
      <patternFill patternType="solid">
        <fgColor rgb="FFFFFFFF"/>
        <bgColor indexed="64"/>
      </patternFill>
    </fill>
    <fill>
      <patternFill patternType="solid">
        <fgColor rgb="FF218F8B"/>
        <bgColor indexed="64"/>
      </patternFill>
    </fill>
    <fill>
      <patternFill patternType="solid">
        <fgColor rgb="FF1F776F"/>
        <bgColor indexed="64"/>
      </patternFill>
    </fill>
    <fill>
      <patternFill patternType="solid">
        <fgColor theme="6" tint="-0.499984740745262"/>
        <bgColor indexed="64"/>
      </patternFill>
    </fill>
    <fill>
      <patternFill patternType="solid">
        <fgColor theme="5" tint="0.59999389629810485"/>
        <bgColor indexed="64"/>
      </patternFill>
    </fill>
    <fill>
      <patternFill patternType="solid">
        <fgColor theme="0"/>
        <bgColor indexed="64"/>
      </patternFill>
    </fill>
    <fill>
      <patternFill patternType="solid">
        <fgColor rgb="FFFFC000"/>
        <bgColor indexed="64"/>
      </patternFill>
    </fill>
    <fill>
      <patternFill patternType="solid">
        <fgColor theme="8" tint="0.79998168889431442"/>
        <bgColor indexed="64"/>
      </patternFill>
    </fill>
    <fill>
      <patternFill patternType="solid">
        <fgColor rgb="FF748A96"/>
        <bgColor indexed="64"/>
      </patternFill>
    </fill>
    <fill>
      <patternFill patternType="solid">
        <fgColor rgb="FFCCFF99"/>
        <bgColor indexed="64"/>
      </patternFill>
    </fill>
    <fill>
      <patternFill patternType="solid">
        <fgColor rgb="FFD9D9D9"/>
        <bgColor indexed="64"/>
      </patternFill>
    </fill>
    <fill>
      <patternFill patternType="solid">
        <fgColor rgb="FFC00000"/>
        <bgColor indexed="64"/>
      </patternFill>
    </fill>
    <fill>
      <patternFill patternType="solid">
        <fgColor rgb="FFFFE39C"/>
        <bgColor indexed="64"/>
      </patternFill>
    </fill>
    <fill>
      <patternFill patternType="solid">
        <fgColor rgb="FFFFFF00"/>
        <bgColor indexed="64"/>
      </patternFill>
    </fill>
    <fill>
      <patternFill patternType="solid">
        <fgColor theme="5" tint="0.79998168889431442"/>
        <bgColor indexed="64"/>
      </patternFill>
    </fill>
  </fills>
  <borders count="51">
    <border>
      <left/>
      <right/>
      <top/>
      <bottom/>
      <diagonal/>
    </border>
    <border>
      <left/>
      <right/>
      <top/>
      <bottom style="medium">
        <color rgb="FFE4022D"/>
      </bottom>
      <diagonal/>
    </border>
    <border>
      <left style="thick">
        <color rgb="FF7F7F7F"/>
      </left>
      <right/>
      <top/>
      <bottom/>
      <diagonal/>
    </border>
    <border>
      <left/>
      <right style="thick">
        <color rgb="FF7F7F7F"/>
      </right>
      <top/>
      <bottom/>
      <diagonal/>
    </border>
    <border>
      <left/>
      <right style="medium">
        <color rgb="FFFFFFFF"/>
      </right>
      <top/>
      <bottom/>
      <diagonal/>
    </border>
    <border>
      <left style="medium">
        <color rgb="FFFFFFFF"/>
      </left>
      <right/>
      <top/>
      <bottom/>
      <diagonal/>
    </border>
    <border>
      <left/>
      <right style="medium">
        <color rgb="FFFFFFFF"/>
      </right>
      <top/>
      <bottom style="medium">
        <color rgb="FFE4022D"/>
      </bottom>
      <diagonal/>
    </border>
    <border>
      <left style="medium">
        <color rgb="FFFFFFFF"/>
      </left>
      <right/>
      <top/>
      <bottom style="medium">
        <color rgb="FFE4022D"/>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rgb="FF000000"/>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rgb="FF000000"/>
      </top>
      <bottom/>
      <diagonal/>
    </border>
    <border>
      <left/>
      <right style="thin">
        <color indexed="64"/>
      </right>
      <top style="thin">
        <color rgb="FF000000"/>
      </top>
      <bottom/>
      <diagonal/>
    </border>
    <border>
      <left/>
      <right/>
      <top style="thin">
        <color indexed="64"/>
      </top>
      <bottom/>
      <diagonal/>
    </border>
    <border>
      <left/>
      <right/>
      <top/>
      <bottom style="thin">
        <color rgb="FF000000"/>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right/>
      <top/>
      <bottom style="thin">
        <color indexed="64"/>
      </bottom>
      <diagonal/>
    </border>
    <border>
      <left/>
      <right style="thick">
        <color rgb="FF7F7F7F"/>
      </right>
      <top style="thin">
        <color theme="0" tint="-0.34998626667073579"/>
      </top>
      <bottom style="thin">
        <color theme="0" tint="-0.34998626667073579"/>
      </bottom>
      <diagonal/>
    </border>
    <border>
      <left/>
      <right style="medium">
        <color rgb="FFFFFFFF"/>
      </right>
      <top style="thin">
        <color theme="0" tint="-0.34998626667073579"/>
      </top>
      <bottom style="thin">
        <color theme="0" tint="-0.3499862666707357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rgb="FF92D050"/>
      </bottom>
      <diagonal/>
    </border>
    <border>
      <left/>
      <right/>
      <top/>
      <bottom style="medium">
        <color rgb="FF92D050"/>
      </bottom>
      <diagonal/>
    </border>
    <border>
      <left/>
      <right style="medium">
        <color indexed="64"/>
      </right>
      <top/>
      <bottom style="medium">
        <color rgb="FF92D050"/>
      </bottom>
      <diagonal/>
    </border>
    <border>
      <left style="medium">
        <color indexed="64"/>
      </left>
      <right/>
      <top style="medium">
        <color rgb="FF92D050"/>
      </top>
      <bottom/>
      <diagonal/>
    </border>
    <border>
      <left/>
      <right/>
      <top style="medium">
        <color rgb="FF92D050"/>
      </top>
      <bottom/>
      <diagonal/>
    </border>
    <border>
      <left/>
      <right style="medium">
        <color indexed="64"/>
      </right>
      <top style="medium">
        <color rgb="FF92D050"/>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rgb="FF92D050"/>
      </top>
      <bottom style="medium">
        <color indexed="64"/>
      </bottom>
      <diagonal/>
    </border>
    <border>
      <left/>
      <right style="medium">
        <color indexed="64"/>
      </right>
      <top style="medium">
        <color rgb="FF92D050"/>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2">
    <xf numFmtId="0" fontId="0" fillId="0" borderId="0"/>
    <xf numFmtId="43" fontId="1" fillId="0" borderId="0" applyFont="0" applyFill="0" applyBorder="0" applyAlignment="0" applyProtection="0"/>
    <xf numFmtId="9" fontId="1" fillId="0" borderId="0" applyFont="0" applyFill="0" applyBorder="0" applyAlignment="0" applyProtection="0"/>
    <xf numFmtId="0" fontId="16" fillId="0" borderId="0"/>
    <xf numFmtId="0" fontId="14" fillId="0" borderId="0"/>
    <xf numFmtId="164" fontId="14" fillId="0" borderId="0" applyFont="0" applyFill="0" applyBorder="0" applyAlignment="0" applyProtection="0"/>
    <xf numFmtId="0" fontId="14" fillId="0" borderId="0"/>
    <xf numFmtId="0" fontId="1" fillId="0" borderId="0"/>
    <xf numFmtId="164" fontId="14" fillId="0" borderId="0" applyFont="0" applyFill="0" applyBorder="0" applyAlignment="0" applyProtection="0"/>
    <xf numFmtId="0" fontId="1" fillId="0" borderId="0"/>
    <xf numFmtId="0" fontId="1" fillId="0" borderId="0"/>
    <xf numFmtId="0" fontId="57" fillId="0" borderId="0" applyNumberFormat="0" applyFill="0" applyBorder="0" applyAlignment="0" applyProtection="0"/>
  </cellStyleXfs>
  <cellXfs count="511">
    <xf numFmtId="0" fontId="0" fillId="0" borderId="0" xfId="0"/>
    <xf numFmtId="0" fontId="0" fillId="0" borderId="0" xfId="0" applyAlignment="1">
      <alignment wrapText="1"/>
    </xf>
    <xf numFmtId="0" fontId="0" fillId="0" borderId="0" xfId="0" applyAlignment="1">
      <alignment horizontal="center"/>
    </xf>
    <xf numFmtId="0" fontId="3" fillId="0" borderId="0" xfId="0" applyFont="1" applyAlignment="1">
      <alignment vertical="center"/>
    </xf>
    <xf numFmtId="0" fontId="6" fillId="0" borderId="0" xfId="0" applyFont="1"/>
    <xf numFmtId="0" fontId="9" fillId="0" borderId="0" xfId="0" applyFont="1"/>
    <xf numFmtId="0" fontId="6" fillId="0" borderId="0" xfId="0" applyFont="1" applyAlignment="1">
      <alignment wrapText="1"/>
    </xf>
    <xf numFmtId="0" fontId="6" fillId="0" borderId="0" xfId="0" applyFont="1" applyAlignment="1">
      <alignment vertical="center"/>
    </xf>
    <xf numFmtId="0" fontId="10" fillId="0" borderId="0" xfId="0" applyFont="1"/>
    <xf numFmtId="166" fontId="12" fillId="0" borderId="0" xfId="3" applyNumberFormat="1" applyFont="1" applyAlignment="1">
      <alignment vertical="center"/>
    </xf>
    <xf numFmtId="0" fontId="12" fillId="0" borderId="0" xfId="4" applyFont="1" applyAlignment="1">
      <alignment horizontal="center" vertical="center"/>
    </xf>
    <xf numFmtId="0" fontId="13" fillId="0" borderId="0" xfId="4" applyFont="1" applyAlignment="1">
      <alignment horizontal="right" vertical="center" wrapText="1"/>
    </xf>
    <xf numFmtId="0" fontId="13" fillId="0" borderId="0" xfId="4" applyFont="1" applyAlignment="1">
      <alignment horizontal="right" vertical="center"/>
    </xf>
    <xf numFmtId="0" fontId="12" fillId="0" borderId="0" xfId="4" applyFont="1" applyAlignment="1">
      <alignment vertical="center"/>
    </xf>
    <xf numFmtId="0" fontId="13" fillId="0" borderId="0" xfId="4" applyFont="1" applyAlignment="1">
      <alignment horizontal="left" vertical="center" wrapText="1"/>
    </xf>
    <xf numFmtId="0" fontId="13" fillId="0" borderId="0" xfId="4" applyFont="1" applyAlignment="1">
      <alignment vertical="center"/>
    </xf>
    <xf numFmtId="0" fontId="13" fillId="0" borderId="0" xfId="4" applyFont="1" applyAlignment="1">
      <alignment horizontal="center" vertical="center"/>
    </xf>
    <xf numFmtId="0" fontId="12" fillId="0" borderId="0" xfId="4" applyFont="1" applyAlignment="1">
      <alignment horizontal="left" vertical="center"/>
    </xf>
    <xf numFmtId="0" fontId="5" fillId="2" borderId="7" xfId="4" applyFont="1" applyFill="1" applyBorder="1" applyAlignment="1">
      <alignment horizontal="center" vertical="center" wrapText="1"/>
    </xf>
    <xf numFmtId="0" fontId="5" fillId="2" borderId="1" xfId="4" applyFont="1" applyFill="1" applyBorder="1" applyAlignment="1">
      <alignment horizontal="center" vertical="center" wrapText="1"/>
    </xf>
    <xf numFmtId="0" fontId="13" fillId="0" borderId="0" xfId="4" applyFont="1" applyAlignment="1">
      <alignment vertical="center" wrapText="1"/>
    </xf>
    <xf numFmtId="164" fontId="12" fillId="0" borderId="0" xfId="5" applyFont="1" applyAlignment="1">
      <alignment vertical="center"/>
    </xf>
    <xf numFmtId="165" fontId="12" fillId="0" borderId="0" xfId="4" applyNumberFormat="1" applyFont="1" applyAlignment="1">
      <alignment vertical="center"/>
    </xf>
    <xf numFmtId="0" fontId="17" fillId="0" borderId="0" xfId="4" applyFont="1" applyAlignment="1">
      <alignment vertical="center"/>
    </xf>
    <xf numFmtId="0" fontId="15" fillId="6" borderId="0" xfId="4" applyFont="1" applyFill="1" applyAlignment="1">
      <alignment horizontal="left" vertical="center"/>
    </xf>
    <xf numFmtId="166" fontId="15" fillId="6" borderId="0" xfId="4" applyNumberFormat="1" applyFont="1" applyFill="1" applyAlignment="1">
      <alignment vertical="center"/>
    </xf>
    <xf numFmtId="166" fontId="13" fillId="0" borderId="0" xfId="4" applyNumberFormat="1" applyFont="1" applyAlignment="1">
      <alignment vertical="center"/>
    </xf>
    <xf numFmtId="0" fontId="5" fillId="2" borderId="6" xfId="4" applyFont="1" applyFill="1" applyBorder="1" applyAlignment="1">
      <alignment horizontal="center" vertical="center" wrapText="1"/>
    </xf>
    <xf numFmtId="0" fontId="18" fillId="0" borderId="0" xfId="4" applyFont="1" applyAlignment="1">
      <alignment horizontal="left" vertical="center"/>
    </xf>
    <xf numFmtId="0" fontId="12" fillId="0" borderId="0" xfId="4" applyFont="1" applyAlignment="1">
      <alignment horizontal="left" vertical="center" wrapText="1"/>
    </xf>
    <xf numFmtId="0" fontId="12" fillId="0" borderId="0" xfId="4" applyFont="1" applyAlignment="1">
      <alignment horizontal="center"/>
    </xf>
    <xf numFmtId="0" fontId="12" fillId="0" borderId="0" xfId="4" applyFont="1"/>
    <xf numFmtId="166" fontId="13" fillId="0" borderId="0" xfId="3" applyNumberFormat="1" applyFont="1" applyAlignment="1">
      <alignment vertical="center"/>
    </xf>
    <xf numFmtId="0" fontId="5" fillId="2" borderId="0" xfId="4" applyFont="1" applyFill="1" applyAlignment="1">
      <alignment vertical="center" wrapText="1"/>
    </xf>
    <xf numFmtId="164" fontId="5" fillId="2" borderId="0" xfId="5" applyFont="1" applyFill="1" applyAlignment="1">
      <alignment vertical="center" wrapText="1"/>
    </xf>
    <xf numFmtId="167" fontId="12" fillId="0" borderId="0" xfId="5" applyNumberFormat="1" applyFont="1" applyAlignment="1">
      <alignment vertical="center"/>
    </xf>
    <xf numFmtId="0" fontId="12" fillId="0" borderId="0" xfId="4" applyFont="1" applyAlignment="1">
      <alignment vertical="center" wrapText="1"/>
    </xf>
    <xf numFmtId="14" fontId="19" fillId="0" borderId="0" xfId="4" applyNumberFormat="1" applyFont="1"/>
    <xf numFmtId="3" fontId="12" fillId="0" borderId="0" xfId="4" applyNumberFormat="1" applyFont="1" applyAlignment="1">
      <alignment vertical="center"/>
    </xf>
    <xf numFmtId="0" fontId="20" fillId="0" borderId="0" xfId="4" applyFont="1" applyAlignment="1">
      <alignment vertical="center"/>
    </xf>
    <xf numFmtId="14" fontId="12" fillId="0" borderId="0" xfId="7" applyNumberFormat="1" applyFont="1" applyAlignment="1">
      <alignment horizontal="center" vertical="center"/>
    </xf>
    <xf numFmtId="167" fontId="19" fillId="0" borderId="0" xfId="8" applyNumberFormat="1" applyFont="1"/>
    <xf numFmtId="14" fontId="12" fillId="0" borderId="0" xfId="4" applyNumberFormat="1" applyFont="1"/>
    <xf numFmtId="167" fontId="21" fillId="0" borderId="0" xfId="8" applyNumberFormat="1" applyFont="1" applyAlignment="1">
      <alignment horizontal="left" vertical="center"/>
    </xf>
    <xf numFmtId="167" fontId="12" fillId="0" borderId="0" xfId="8" applyNumberFormat="1" applyFont="1" applyAlignment="1">
      <alignment vertical="center"/>
    </xf>
    <xf numFmtId="168" fontId="12" fillId="0" borderId="0" xfId="4" applyNumberFormat="1" applyFont="1" applyAlignment="1">
      <alignment horizontal="center" vertical="center"/>
    </xf>
    <xf numFmtId="3" fontId="19" fillId="0" borderId="0" xfId="7" applyNumberFormat="1" applyFont="1" applyAlignment="1">
      <alignment horizontal="right" vertical="center"/>
    </xf>
    <xf numFmtId="0" fontId="19" fillId="0" borderId="0" xfId="4" applyFont="1"/>
    <xf numFmtId="0" fontId="21" fillId="0" borderId="0" xfId="9" applyFont="1" applyAlignment="1">
      <alignment horizontal="right" vertical="center"/>
    </xf>
    <xf numFmtId="14" fontId="12" fillId="0" borderId="0" xfId="9" applyNumberFormat="1" applyFont="1" applyAlignment="1">
      <alignment horizontal="center" vertical="center"/>
    </xf>
    <xf numFmtId="3" fontId="19" fillId="0" borderId="0" xfId="5" applyNumberFormat="1" applyFont="1"/>
    <xf numFmtId="1" fontId="12" fillId="0" borderId="0" xfId="4" applyNumberFormat="1" applyFont="1" applyAlignment="1">
      <alignment horizontal="center" vertical="center"/>
    </xf>
    <xf numFmtId="164" fontId="19" fillId="0" borderId="0" xfId="5" applyFont="1"/>
    <xf numFmtId="14" fontId="12" fillId="0" borderId="0" xfId="4" applyNumberFormat="1" applyFont="1" applyAlignment="1">
      <alignment horizontal="center" vertical="center"/>
    </xf>
    <xf numFmtId="0" fontId="13" fillId="7" borderId="0" xfId="4" applyFont="1" applyFill="1" applyAlignment="1">
      <alignment horizontal="right" vertical="center"/>
    </xf>
    <xf numFmtId="0" fontId="17" fillId="7" borderId="0" xfId="4" applyFont="1" applyFill="1" applyAlignment="1">
      <alignment horizontal="right" vertical="center"/>
    </xf>
    <xf numFmtId="166" fontId="22" fillId="7" borderId="0" xfId="4" applyNumberFormat="1" applyFont="1" applyFill="1" applyAlignment="1">
      <alignment vertical="center"/>
    </xf>
    <xf numFmtId="166" fontId="12" fillId="8" borderId="0" xfId="3" applyNumberFormat="1" applyFont="1" applyFill="1" applyAlignment="1">
      <alignment vertical="center"/>
    </xf>
    <xf numFmtId="166" fontId="12" fillId="0" borderId="0" xfId="4" applyNumberFormat="1" applyFont="1" applyAlignment="1">
      <alignment vertical="center"/>
    </xf>
    <xf numFmtId="166" fontId="5" fillId="2" borderId="0" xfId="5" applyNumberFormat="1" applyFont="1" applyFill="1" applyAlignment="1">
      <alignment vertical="center" wrapText="1"/>
    </xf>
    <xf numFmtId="166" fontId="12" fillId="0" borderId="0" xfId="5" applyNumberFormat="1" applyFont="1" applyAlignment="1">
      <alignment vertical="center"/>
    </xf>
    <xf numFmtId="164" fontId="12" fillId="0" borderId="0" xfId="5" applyFont="1" applyAlignment="1">
      <alignment horizontal="center" vertical="center"/>
    </xf>
    <xf numFmtId="169" fontId="12" fillId="0" borderId="0" xfId="5" applyNumberFormat="1" applyFont="1" applyAlignment="1">
      <alignment vertical="center"/>
    </xf>
    <xf numFmtId="0" fontId="23" fillId="0" borderId="0" xfId="0" applyFont="1"/>
    <xf numFmtId="0" fontId="6" fillId="0" borderId="0" xfId="0" applyFont="1" applyAlignment="1">
      <alignment horizontal="center"/>
    </xf>
    <xf numFmtId="0" fontId="7" fillId="5" borderId="11" xfId="0" applyFont="1" applyFill="1" applyBorder="1" applyAlignment="1">
      <alignment horizontal="center" wrapText="1" readingOrder="1"/>
    </xf>
    <xf numFmtId="0" fontId="27" fillId="0" borderId="11" xfId="0" applyFont="1" applyBorder="1" applyAlignment="1">
      <alignment horizontal="left" wrapText="1" readingOrder="1"/>
    </xf>
    <xf numFmtId="3" fontId="6" fillId="0" borderId="8" xfId="10" applyNumberFormat="1" applyFont="1" applyBorder="1" applyAlignment="1">
      <alignment horizontal="center"/>
    </xf>
    <xf numFmtId="0" fontId="6" fillId="8" borderId="0" xfId="10" applyFont="1" applyFill="1" applyAlignment="1">
      <alignment horizontal="center"/>
    </xf>
    <xf numFmtId="0" fontId="29" fillId="4" borderId="0" xfId="0" applyFont="1" applyFill="1" applyAlignment="1">
      <alignment horizontal="center" vertical="center"/>
    </xf>
    <xf numFmtId="0" fontId="29" fillId="4" borderId="0" xfId="0" applyFont="1" applyFill="1" applyAlignment="1">
      <alignment vertical="center"/>
    </xf>
    <xf numFmtId="0" fontId="6" fillId="0" borderId="0" xfId="0" applyFont="1" applyAlignment="1">
      <alignment horizontal="right"/>
    </xf>
    <xf numFmtId="43" fontId="6" fillId="0" borderId="0" xfId="1" applyFont="1"/>
    <xf numFmtId="0" fontId="12" fillId="8" borderId="0" xfId="4" applyFont="1" applyFill="1" applyAlignment="1">
      <alignment horizontal="left" vertical="center"/>
    </xf>
    <xf numFmtId="0" fontId="12" fillId="8" borderId="0" xfId="4" applyFont="1" applyFill="1" applyAlignment="1">
      <alignment vertical="center"/>
    </xf>
    <xf numFmtId="14" fontId="6" fillId="0" borderId="0" xfId="0" applyNumberFormat="1" applyFont="1"/>
    <xf numFmtId="170" fontId="6" fillId="0" borderId="0" xfId="1" applyNumberFormat="1" applyFont="1"/>
    <xf numFmtId="170" fontId="6" fillId="0" borderId="0" xfId="0" applyNumberFormat="1" applyFont="1"/>
    <xf numFmtId="0" fontId="6" fillId="0" borderId="0" xfId="0" applyFont="1" applyAlignment="1">
      <alignment horizontal="left"/>
    </xf>
    <xf numFmtId="0" fontId="0" fillId="0" borderId="0" xfId="0" applyAlignment="1">
      <alignment horizontal="right"/>
    </xf>
    <xf numFmtId="0" fontId="31" fillId="0" borderId="0" xfId="0" applyFont="1"/>
    <xf numFmtId="0" fontId="31" fillId="0" borderId="0" xfId="0" applyFont="1" applyAlignment="1">
      <alignment horizontal="center"/>
    </xf>
    <xf numFmtId="0" fontId="32"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4" fillId="0" borderId="0" xfId="0" applyFont="1" applyAlignment="1">
      <alignment horizontal="center"/>
    </xf>
    <xf numFmtId="0" fontId="32" fillId="0" borderId="0" xfId="0" applyFont="1"/>
    <xf numFmtId="0" fontId="30" fillId="0" borderId="0" xfId="0" applyFont="1"/>
    <xf numFmtId="0" fontId="30" fillId="9" borderId="8" xfId="0" applyFont="1" applyFill="1" applyBorder="1" applyAlignment="1">
      <alignment horizontal="center"/>
    </xf>
    <xf numFmtId="0" fontId="30" fillId="9" borderId="8" xfId="0" applyFont="1" applyFill="1" applyBorder="1"/>
    <xf numFmtId="167" fontId="30" fillId="9" borderId="8" xfId="0" applyNumberFormat="1" applyFont="1" applyFill="1" applyBorder="1"/>
    <xf numFmtId="0" fontId="30" fillId="10" borderId="8" xfId="0" applyFont="1" applyFill="1" applyBorder="1" applyAlignment="1">
      <alignment horizontal="center"/>
    </xf>
    <xf numFmtId="0" fontId="30" fillId="10" borderId="8" xfId="0" applyFont="1" applyFill="1" applyBorder="1"/>
    <xf numFmtId="167" fontId="30" fillId="10" borderId="8" xfId="1" applyNumberFormat="1" applyFont="1" applyFill="1" applyBorder="1"/>
    <xf numFmtId="0" fontId="23" fillId="0" borderId="8" xfId="0" applyFont="1" applyBorder="1" applyAlignment="1">
      <alignment horizontal="center"/>
    </xf>
    <xf numFmtId="0" fontId="23" fillId="0" borderId="8" xfId="0" applyFont="1" applyBorder="1"/>
    <xf numFmtId="3" fontId="24" fillId="0" borderId="8" xfId="0" applyNumberFormat="1" applyFont="1" applyBorder="1" applyAlignment="1">
      <alignment horizontal="right" vertical="center"/>
    </xf>
    <xf numFmtId="167" fontId="23" fillId="0" borderId="8" xfId="1" applyNumberFormat="1" applyFont="1" applyBorder="1" applyAlignment="1">
      <alignment horizontal="center"/>
    </xf>
    <xf numFmtId="167" fontId="23" fillId="0" borderId="8" xfId="1" applyNumberFormat="1" applyFont="1" applyBorder="1"/>
    <xf numFmtId="167" fontId="31" fillId="0" borderId="0" xfId="0" applyNumberFormat="1" applyFont="1"/>
    <xf numFmtId="0" fontId="35" fillId="0" borderId="0" xfId="0" applyFont="1"/>
    <xf numFmtId="0" fontId="36" fillId="0" borderId="0" xfId="0" applyFont="1"/>
    <xf numFmtId="0" fontId="30" fillId="0" borderId="8" xfId="0" applyFont="1" applyBorder="1" applyAlignment="1">
      <alignment horizontal="center" vertical="center"/>
    </xf>
    <xf numFmtId="0" fontId="30" fillId="0" borderId="8" xfId="0" applyFont="1" applyBorder="1" applyAlignment="1">
      <alignment horizontal="center" vertical="center" wrapText="1"/>
    </xf>
    <xf numFmtId="167" fontId="23" fillId="0" borderId="8" xfId="0" applyNumberFormat="1" applyFont="1" applyBorder="1"/>
    <xf numFmtId="167" fontId="23" fillId="0" borderId="0" xfId="1" applyNumberFormat="1" applyFont="1" applyBorder="1"/>
    <xf numFmtId="167" fontId="30" fillId="0" borderId="8" xfId="1" applyNumberFormat="1" applyFont="1" applyBorder="1"/>
    <xf numFmtId="0" fontId="23" fillId="0" borderId="0" xfId="0" applyFont="1" applyAlignment="1">
      <alignment horizontal="center"/>
    </xf>
    <xf numFmtId="0" fontId="23" fillId="0" borderId="0" xfId="0" applyFont="1" applyAlignment="1">
      <alignment wrapText="1"/>
    </xf>
    <xf numFmtId="9" fontId="23" fillId="0" borderId="0" xfId="2" applyFont="1"/>
    <xf numFmtId="167" fontId="23" fillId="0" borderId="0" xfId="0" applyNumberFormat="1" applyFont="1"/>
    <xf numFmtId="0" fontId="4" fillId="0" borderId="0" xfId="0" applyFont="1"/>
    <xf numFmtId="0" fontId="2" fillId="2" borderId="0" xfId="0" applyFont="1" applyFill="1" applyAlignment="1">
      <alignment vertical="center" wrapText="1"/>
    </xf>
    <xf numFmtId="0" fontId="7" fillId="2" borderId="0" xfId="0" applyFont="1" applyFill="1" applyAlignment="1">
      <alignment horizontal="center" vertical="center"/>
    </xf>
    <xf numFmtId="0" fontId="7" fillId="2" borderId="0" xfId="0" applyFont="1" applyFill="1" applyAlignment="1">
      <alignment vertical="center"/>
    </xf>
    <xf numFmtId="0" fontId="7" fillId="2" borderId="0" xfId="0" applyFont="1" applyFill="1" applyAlignment="1">
      <alignment horizontal="center" vertical="center" wrapText="1"/>
    </xf>
    <xf numFmtId="0" fontId="8" fillId="0" borderId="28" xfId="0" applyFont="1" applyBorder="1" applyAlignment="1">
      <alignment horizontal="center" vertical="center" wrapText="1"/>
    </xf>
    <xf numFmtId="0" fontId="6" fillId="0" borderId="28" xfId="0" applyFont="1" applyBorder="1" applyAlignment="1">
      <alignment horizontal="center"/>
    </xf>
    <xf numFmtId="0" fontId="6" fillId="0" borderId="28" xfId="0" applyFont="1" applyBorder="1"/>
    <xf numFmtId="0" fontId="37" fillId="0" borderId="28" xfId="0" applyFont="1" applyBorder="1" applyAlignment="1">
      <alignment horizontal="center" vertical="center" wrapText="1"/>
    </xf>
    <xf numFmtId="0" fontId="37" fillId="0" borderId="28" xfId="0" applyFont="1" applyBorder="1" applyAlignment="1">
      <alignment vertical="center"/>
    </xf>
    <xf numFmtId="0" fontId="37" fillId="0" borderId="28" xfId="0" applyFont="1" applyBorder="1" applyAlignment="1">
      <alignment horizontal="center"/>
    </xf>
    <xf numFmtId="0" fontId="37" fillId="0" borderId="28" xfId="0" applyFont="1" applyBorder="1"/>
    <xf numFmtId="0" fontId="37" fillId="0" borderId="28" xfId="0" applyFont="1" applyBorder="1" applyAlignment="1">
      <alignment horizontal="center" vertical="center"/>
    </xf>
    <xf numFmtId="10" fontId="37" fillId="0" borderId="28" xfId="2" applyNumberFormat="1" applyFont="1" applyFill="1" applyBorder="1" applyAlignment="1">
      <alignment horizontal="right" vertical="center"/>
    </xf>
    <xf numFmtId="0" fontId="37" fillId="0" borderId="28" xfId="0" applyFont="1" applyBorder="1" applyAlignment="1">
      <alignment vertical="center" wrapText="1"/>
    </xf>
    <xf numFmtId="0" fontId="37" fillId="0" borderId="28" xfId="0" applyFont="1" applyBorder="1" applyAlignment="1">
      <alignment horizontal="right" vertical="center"/>
    </xf>
    <xf numFmtId="10" fontId="37" fillId="0" borderId="28" xfId="0" applyNumberFormat="1" applyFont="1" applyBorder="1" applyAlignment="1">
      <alignment horizontal="right" vertical="center"/>
    </xf>
    <xf numFmtId="0" fontId="3" fillId="0" borderId="0" xfId="0" applyFont="1" applyAlignment="1">
      <alignment horizontal="left" vertical="center"/>
    </xf>
    <xf numFmtId="0" fontId="2" fillId="2" borderId="0" xfId="0" applyFont="1" applyFill="1" applyAlignment="1">
      <alignment horizontal="left" vertical="center" wrapText="1"/>
    </xf>
    <xf numFmtId="0" fontId="6" fillId="0" borderId="28" xfId="0" applyFont="1" applyBorder="1" applyAlignment="1">
      <alignment horizontal="left"/>
    </xf>
    <xf numFmtId="0" fontId="7" fillId="2" borderId="0" xfId="0" applyFont="1" applyFill="1" applyAlignment="1">
      <alignment vertical="center" wrapText="1"/>
    </xf>
    <xf numFmtId="14" fontId="6" fillId="0" borderId="28" xfId="0" applyNumberFormat="1" applyFont="1" applyBorder="1" applyAlignment="1">
      <alignment horizontal="right"/>
    </xf>
    <xf numFmtId="0" fontId="6" fillId="0" borderId="28" xfId="0" applyFont="1" applyBorder="1" applyAlignment="1">
      <alignment horizontal="right"/>
    </xf>
    <xf numFmtId="0" fontId="6" fillId="0" borderId="28" xfId="0" applyFont="1" applyBorder="1" applyAlignment="1">
      <alignment wrapText="1"/>
    </xf>
    <xf numFmtId="0" fontId="39" fillId="0" borderId="0" xfId="0" applyFont="1"/>
    <xf numFmtId="0" fontId="40" fillId="0" borderId="28" xfId="0" applyFont="1" applyBorder="1" applyAlignment="1">
      <alignment vertical="center"/>
    </xf>
    <xf numFmtId="0" fontId="40" fillId="0" borderId="28" xfId="0" applyFont="1" applyBorder="1"/>
    <xf numFmtId="0" fontId="41" fillId="3" borderId="0" xfId="0" applyFont="1" applyFill="1" applyAlignment="1">
      <alignment vertical="center"/>
    </xf>
    <xf numFmtId="0" fontId="7" fillId="2" borderId="30" xfId="0" applyFont="1" applyFill="1" applyBorder="1" applyAlignment="1">
      <alignment horizontal="center" vertical="center" wrapText="1"/>
    </xf>
    <xf numFmtId="0" fontId="6" fillId="8" borderId="0" xfId="0" applyFont="1" applyFill="1" applyAlignment="1">
      <alignment wrapText="1"/>
    </xf>
    <xf numFmtId="0" fontId="8" fillId="8" borderId="28" xfId="0" applyFont="1" applyFill="1" applyBorder="1" applyAlignment="1">
      <alignment horizontal="center" vertical="center"/>
    </xf>
    <xf numFmtId="0" fontId="8" fillId="8" borderId="28" xfId="0" applyFont="1" applyFill="1" applyBorder="1" applyAlignment="1">
      <alignment vertical="center" wrapText="1"/>
    </xf>
    <xf numFmtId="0" fontId="8" fillId="8" borderId="28" xfId="0" applyFont="1" applyFill="1" applyBorder="1" applyAlignment="1">
      <alignment vertical="center"/>
    </xf>
    <xf numFmtId="0" fontId="28" fillId="8" borderId="28" xfId="0" applyFont="1" applyFill="1" applyBorder="1"/>
    <xf numFmtId="14" fontId="28" fillId="8" borderId="28" xfId="0" applyNumberFormat="1" applyFont="1" applyFill="1" applyBorder="1" applyAlignment="1">
      <alignment horizontal="center"/>
    </xf>
    <xf numFmtId="14" fontId="8" fillId="8" borderId="28" xfId="0" applyNumberFormat="1" applyFont="1" applyFill="1" applyBorder="1" applyAlignment="1">
      <alignment horizontal="center" vertical="center"/>
    </xf>
    <xf numFmtId="0" fontId="6" fillId="8" borderId="28" xfId="0" applyFont="1" applyFill="1" applyBorder="1" applyAlignment="1">
      <alignment wrapText="1"/>
    </xf>
    <xf numFmtId="14" fontId="6" fillId="8" borderId="28" xfId="0" applyNumberFormat="1" applyFont="1" applyFill="1" applyBorder="1" applyAlignment="1">
      <alignment horizontal="center" vertical="center"/>
    </xf>
    <xf numFmtId="0" fontId="7" fillId="2" borderId="30" xfId="0" applyFont="1" applyFill="1" applyBorder="1" applyAlignment="1">
      <alignment horizontal="right" vertical="center" wrapText="1"/>
    </xf>
    <xf numFmtId="0" fontId="7" fillId="2" borderId="0" xfId="0" applyFont="1" applyFill="1" applyAlignment="1">
      <alignment horizontal="right" vertical="center" wrapText="1"/>
    </xf>
    <xf numFmtId="170" fontId="8" fillId="8" borderId="28" xfId="1" applyNumberFormat="1" applyFont="1" applyFill="1" applyBorder="1" applyAlignment="1">
      <alignment horizontal="right" vertical="center"/>
    </xf>
    <xf numFmtId="3" fontId="28" fillId="8" borderId="28" xfId="0" applyNumberFormat="1" applyFont="1" applyFill="1" applyBorder="1" applyAlignment="1">
      <alignment horizontal="right"/>
    </xf>
    <xf numFmtId="170" fontId="6" fillId="8" borderId="28" xfId="1" applyNumberFormat="1" applyFont="1" applyFill="1" applyBorder="1" applyAlignment="1">
      <alignment horizontal="right"/>
    </xf>
    <xf numFmtId="0" fontId="28" fillId="8" borderId="28" xfId="0" applyFont="1" applyFill="1" applyBorder="1" applyAlignment="1">
      <alignment horizontal="center"/>
    </xf>
    <xf numFmtId="0" fontId="42" fillId="0" borderId="28" xfId="0" applyFont="1" applyBorder="1"/>
    <xf numFmtId="0" fontId="37" fillId="8" borderId="28" xfId="0" applyFont="1" applyFill="1" applyBorder="1" applyAlignment="1">
      <alignment horizontal="center"/>
    </xf>
    <xf numFmtId="0" fontId="37" fillId="8" borderId="28" xfId="0" applyFont="1" applyFill="1" applyBorder="1" applyAlignment="1">
      <alignment horizontal="left"/>
    </xf>
    <xf numFmtId="0" fontId="3" fillId="0" borderId="0" xfId="0" applyFont="1"/>
    <xf numFmtId="3" fontId="6" fillId="0" borderId="0" xfId="0" applyNumberFormat="1" applyFont="1" applyAlignment="1">
      <alignment wrapText="1"/>
    </xf>
    <xf numFmtId="0" fontId="7" fillId="4" borderId="0" xfId="0" applyFont="1" applyFill="1" applyAlignment="1">
      <alignment vertical="center" wrapText="1"/>
    </xf>
    <xf numFmtId="170" fontId="7" fillId="4" borderId="0" xfId="0" applyNumberFormat="1" applyFont="1" applyFill="1" applyAlignment="1">
      <alignment horizontal="right" vertical="center"/>
    </xf>
    <xf numFmtId="170" fontId="37" fillId="0" borderId="28" xfId="1" applyNumberFormat="1" applyFont="1" applyFill="1" applyBorder="1" applyAlignment="1">
      <alignment vertical="center" wrapText="1"/>
    </xf>
    <xf numFmtId="170" fontId="37" fillId="0" borderId="28" xfId="1" applyNumberFormat="1" applyFont="1" applyFill="1" applyBorder="1" applyAlignment="1">
      <alignment vertical="center"/>
    </xf>
    <xf numFmtId="0" fontId="37" fillId="0" borderId="28" xfId="0" applyFont="1" applyBorder="1" applyAlignment="1">
      <alignment horizontal="left" vertical="center"/>
    </xf>
    <xf numFmtId="14" fontId="37" fillId="0" borderId="28" xfId="0" applyNumberFormat="1" applyFont="1" applyBorder="1" applyAlignment="1">
      <alignment horizontal="center" vertical="center"/>
    </xf>
    <xf numFmtId="3" fontId="37" fillId="0" borderId="28" xfId="0" applyNumberFormat="1" applyFont="1" applyBorder="1" applyAlignment="1">
      <alignment horizontal="right" vertical="center"/>
    </xf>
    <xf numFmtId="0" fontId="37" fillId="0" borderId="28" xfId="0" applyFont="1" applyBorder="1" applyAlignment="1">
      <alignment horizontal="left"/>
    </xf>
    <xf numFmtId="0" fontId="37" fillId="0" borderId="28" xfId="0" applyFont="1" applyBorder="1" applyAlignment="1">
      <alignment wrapText="1"/>
    </xf>
    <xf numFmtId="14" fontId="37" fillId="0" borderId="28" xfId="0" applyNumberFormat="1" applyFont="1" applyBorder="1"/>
    <xf numFmtId="170" fontId="37" fillId="0" borderId="28" xfId="1" applyNumberFormat="1" applyFont="1" applyFill="1" applyBorder="1"/>
    <xf numFmtId="14" fontId="37" fillId="0" borderId="28" xfId="0" applyNumberFormat="1" applyFont="1" applyBorder="1" applyAlignment="1">
      <alignment vertical="center"/>
    </xf>
    <xf numFmtId="0" fontId="12" fillId="0" borderId="28" xfId="4" applyFont="1" applyBorder="1" applyAlignment="1">
      <alignment vertical="center"/>
    </xf>
    <xf numFmtId="0" fontId="43" fillId="0" borderId="32" xfId="0" applyFont="1" applyBorder="1" applyAlignment="1">
      <alignment horizontal="center" vertical="center"/>
    </xf>
    <xf numFmtId="0" fontId="43" fillId="0" borderId="32" xfId="0" applyFont="1" applyBorder="1" applyAlignment="1">
      <alignment horizontal="justify" vertical="center"/>
    </xf>
    <xf numFmtId="0" fontId="44" fillId="0" borderId="32" xfId="0" applyFont="1" applyBorder="1" applyAlignment="1">
      <alignment horizontal="center" vertical="center"/>
    </xf>
    <xf numFmtId="0" fontId="44" fillId="0" borderId="28" xfId="0" applyFont="1" applyBorder="1" applyAlignment="1">
      <alignment horizontal="center" vertical="center" wrapText="1"/>
    </xf>
    <xf numFmtId="0" fontId="43" fillId="0" borderId="32" xfId="0" applyFont="1" applyBorder="1" applyAlignment="1">
      <alignment horizontal="justify" vertical="center" wrapText="1"/>
    </xf>
    <xf numFmtId="0" fontId="43" fillId="0" borderId="28" xfId="0" applyFont="1" applyBorder="1" applyAlignment="1">
      <alignment horizontal="center" vertical="center" wrapText="1"/>
    </xf>
    <xf numFmtId="0" fontId="34" fillId="2" borderId="15" xfId="0" applyFont="1" applyFill="1" applyBorder="1" applyAlignment="1">
      <alignment horizontal="center" vertical="center"/>
    </xf>
    <xf numFmtId="0" fontId="34" fillId="2" borderId="14" xfId="0" applyFont="1" applyFill="1" applyBorder="1" applyAlignment="1">
      <alignment horizontal="center" vertical="center"/>
    </xf>
    <xf numFmtId="0" fontId="34" fillId="2" borderId="15" xfId="0" applyFont="1" applyFill="1" applyBorder="1" applyAlignment="1">
      <alignment horizontal="center" vertical="center" wrapText="1"/>
    </xf>
    <xf numFmtId="0" fontId="34" fillId="2" borderId="14" xfId="0" applyFont="1" applyFill="1" applyBorder="1" applyAlignment="1">
      <alignment horizontal="center" vertical="center" wrapText="1"/>
    </xf>
    <xf numFmtId="172" fontId="12" fillId="0" borderId="0" xfId="4" applyNumberFormat="1" applyFont="1" applyAlignment="1">
      <alignment vertical="center"/>
    </xf>
    <xf numFmtId="172" fontId="12" fillId="0" borderId="0" xfId="3" applyNumberFormat="1" applyFont="1" applyAlignment="1">
      <alignment vertical="center"/>
    </xf>
    <xf numFmtId="172" fontId="15" fillId="6" borderId="0" xfId="4" applyNumberFormat="1" applyFont="1" applyFill="1" applyAlignment="1">
      <alignment vertical="center"/>
    </xf>
    <xf numFmtId="172" fontId="5" fillId="2" borderId="0" xfId="5" applyNumberFormat="1" applyFont="1" applyFill="1" applyAlignment="1">
      <alignment vertical="center" wrapText="1"/>
    </xf>
    <xf numFmtId="172" fontId="12" fillId="0" borderId="0" xfId="5" applyNumberFormat="1" applyFont="1" applyAlignment="1">
      <alignment vertical="center"/>
    </xf>
    <xf numFmtId="166" fontId="15" fillId="6" borderId="0" xfId="4" applyNumberFormat="1" applyFont="1" applyFill="1" applyAlignment="1">
      <alignment horizontal="left" vertical="center" wrapText="1"/>
    </xf>
    <xf numFmtId="166" fontId="12" fillId="0" borderId="0" xfId="3" applyNumberFormat="1" applyFont="1" applyAlignment="1">
      <alignment vertical="center" wrapText="1"/>
    </xf>
    <xf numFmtId="3" fontId="12" fillId="0" borderId="0" xfId="4" applyNumberFormat="1" applyFont="1" applyAlignment="1">
      <alignment vertical="center" wrapText="1"/>
    </xf>
    <xf numFmtId="0" fontId="20" fillId="0" borderId="0" xfId="4" applyFont="1" applyAlignment="1">
      <alignment vertical="center" wrapText="1"/>
    </xf>
    <xf numFmtId="172" fontId="12" fillId="8" borderId="0" xfId="3" applyNumberFormat="1" applyFont="1" applyFill="1" applyAlignment="1">
      <alignment vertical="center"/>
    </xf>
    <xf numFmtId="0" fontId="15" fillId="6" borderId="0" xfId="4" applyFont="1" applyFill="1" applyAlignment="1">
      <alignment vertical="center"/>
    </xf>
    <xf numFmtId="172" fontId="12" fillId="8" borderId="0" xfId="4" applyNumberFormat="1" applyFont="1" applyFill="1" applyAlignment="1">
      <alignment vertical="center"/>
    </xf>
    <xf numFmtId="0" fontId="30" fillId="0" borderId="0" xfId="0" applyFont="1" applyAlignment="1">
      <alignment vertical="center"/>
    </xf>
    <xf numFmtId="0" fontId="8" fillId="0" borderId="28" xfId="0" applyFont="1" applyBorder="1" applyAlignment="1">
      <alignment vertical="center" wrapText="1"/>
    </xf>
    <xf numFmtId="0" fontId="46" fillId="0" borderId="28" xfId="0" applyFont="1" applyBorder="1" applyAlignment="1">
      <alignment vertical="center" wrapText="1"/>
    </xf>
    <xf numFmtId="0" fontId="46" fillId="0" borderId="28" xfId="0" applyFont="1" applyBorder="1" applyAlignment="1">
      <alignment wrapText="1"/>
    </xf>
    <xf numFmtId="0" fontId="7" fillId="2" borderId="0" xfId="0" applyFont="1" applyFill="1" applyAlignment="1">
      <alignment horizontal="left" vertical="center" wrapText="1"/>
    </xf>
    <xf numFmtId="0" fontId="45" fillId="0" borderId="0" xfId="0" applyFont="1" applyAlignment="1">
      <alignment horizontal="center" vertical="center"/>
    </xf>
    <xf numFmtId="0" fontId="45" fillId="0" borderId="0" xfId="0" applyFont="1" applyAlignment="1">
      <alignment vertical="center"/>
    </xf>
    <xf numFmtId="14" fontId="45" fillId="0" borderId="0" xfId="0" applyNumberFormat="1" applyFont="1" applyAlignment="1">
      <alignment horizontal="right" vertical="center"/>
    </xf>
    <xf numFmtId="0" fontId="45" fillId="0" borderId="0" xfId="0" applyFont="1" applyAlignment="1">
      <alignment horizontal="right" vertical="center"/>
    </xf>
    <xf numFmtId="0" fontId="49" fillId="0" borderId="0" xfId="0" applyFont="1"/>
    <xf numFmtId="0" fontId="41" fillId="0" borderId="0" xfId="0" applyFont="1" applyAlignment="1">
      <alignment vertical="center"/>
    </xf>
    <xf numFmtId="0" fontId="55" fillId="2" borderId="28" xfId="0" applyFont="1" applyFill="1" applyBorder="1" applyAlignment="1">
      <alignment horizontal="center" vertical="center" wrapText="1"/>
    </xf>
    <xf numFmtId="0" fontId="50" fillId="0" borderId="28" xfId="0" applyFont="1" applyBorder="1" applyAlignment="1">
      <alignment horizontal="center" vertical="center"/>
    </xf>
    <xf numFmtId="0" fontId="51" fillId="0" borderId="28" xfId="0" applyFont="1" applyBorder="1" applyAlignment="1">
      <alignment horizontal="left" vertical="center"/>
    </xf>
    <xf numFmtId="0" fontId="51" fillId="0" borderId="28" xfId="0" applyFont="1" applyBorder="1" applyAlignment="1">
      <alignment vertical="center"/>
    </xf>
    <xf numFmtId="0" fontId="51" fillId="0" borderId="28" xfId="0" applyFont="1" applyBorder="1" applyAlignment="1">
      <alignment horizontal="center" vertical="center"/>
    </xf>
    <xf numFmtId="14" fontId="51" fillId="0" borderId="28" xfId="0" applyNumberFormat="1" applyFont="1" applyBorder="1" applyAlignment="1">
      <alignment vertical="center"/>
    </xf>
    <xf numFmtId="22" fontId="51" fillId="0" borderId="28" xfId="0" applyNumberFormat="1" applyFont="1" applyBorder="1" applyAlignment="1">
      <alignment vertical="center"/>
    </xf>
    <xf numFmtId="0" fontId="51" fillId="0" borderId="28" xfId="0" applyFont="1" applyBorder="1"/>
    <xf numFmtId="0" fontId="50" fillId="0" borderId="28" xfId="0" applyFont="1" applyBorder="1" applyAlignment="1">
      <alignment horizontal="left" vertical="center"/>
    </xf>
    <xf numFmtId="0" fontId="50" fillId="0" borderId="28" xfId="0" applyFont="1" applyBorder="1" applyAlignment="1">
      <alignment vertical="center"/>
    </xf>
    <xf numFmtId="14" fontId="50" fillId="0" borderId="28" xfId="0" applyNumberFormat="1" applyFont="1" applyBorder="1" applyAlignment="1">
      <alignment vertical="center"/>
    </xf>
    <xf numFmtId="22" fontId="50" fillId="0" borderId="28" xfId="0" applyNumberFormat="1" applyFont="1" applyBorder="1" applyAlignment="1">
      <alignment vertical="center"/>
    </xf>
    <xf numFmtId="0" fontId="50" fillId="0" borderId="28" xfId="0" applyFont="1" applyBorder="1"/>
    <xf numFmtId="0" fontId="12" fillId="0" borderId="28" xfId="0" applyFont="1" applyBorder="1" applyAlignment="1">
      <alignment horizontal="center" vertical="center"/>
    </xf>
    <xf numFmtId="0" fontId="12" fillId="0" borderId="28" xfId="0" applyFont="1" applyBorder="1" applyAlignment="1">
      <alignment vertical="center"/>
    </xf>
    <xf numFmtId="173" fontId="12" fillId="0" borderId="28" xfId="0" applyNumberFormat="1" applyFont="1" applyBorder="1" applyAlignment="1">
      <alignment horizontal="center" vertical="center"/>
    </xf>
    <xf numFmtId="0" fontId="12" fillId="0" borderId="28" xfId="0" applyFont="1" applyBorder="1" applyAlignment="1">
      <alignment horizontal="left" vertical="center"/>
    </xf>
    <xf numFmtId="0" fontId="55" fillId="2" borderId="28" xfId="0" applyFont="1" applyFill="1" applyBorder="1" applyAlignment="1">
      <alignment horizontal="left" vertical="center" wrapText="1"/>
    </xf>
    <xf numFmtId="0" fontId="50" fillId="0" borderId="28" xfId="0" applyFont="1" applyBorder="1" applyAlignment="1">
      <alignment vertical="top"/>
    </xf>
    <xf numFmtId="0" fontId="50" fillId="0" borderId="28" xfId="0" applyFont="1" applyBorder="1" applyAlignment="1">
      <alignment horizontal="left" vertical="top"/>
    </xf>
    <xf numFmtId="0" fontId="50" fillId="0" borderId="28" xfId="0" applyFont="1" applyBorder="1" applyAlignment="1">
      <alignment horizontal="center" vertical="top"/>
    </xf>
    <xf numFmtId="14" fontId="50" fillId="0" borderId="28" xfId="0" applyNumberFormat="1" applyFont="1" applyBorder="1" applyAlignment="1">
      <alignment horizontal="left" vertical="top"/>
    </xf>
    <xf numFmtId="14" fontId="51" fillId="0" borderId="28" xfId="0" applyNumberFormat="1" applyFont="1" applyBorder="1"/>
    <xf numFmtId="22" fontId="51" fillId="0" borderId="28" xfId="0" applyNumberFormat="1" applyFont="1" applyBorder="1"/>
    <xf numFmtId="0" fontId="55" fillId="2" borderId="28" xfId="0" applyFont="1" applyFill="1" applyBorder="1" applyAlignment="1">
      <alignment wrapText="1"/>
    </xf>
    <xf numFmtId="0" fontId="55" fillId="2" borderId="28" xfId="0" applyFont="1" applyFill="1" applyBorder="1" applyAlignment="1">
      <alignment horizontal="center" wrapText="1"/>
    </xf>
    <xf numFmtId="0" fontId="25" fillId="0" borderId="0" xfId="0" applyFont="1" applyAlignment="1">
      <alignment horizontal="left" vertical="center"/>
    </xf>
    <xf numFmtId="170" fontId="0" fillId="0" borderId="0" xfId="0" applyNumberFormat="1"/>
    <xf numFmtId="0" fontId="26" fillId="2" borderId="28" xfId="0" applyFont="1" applyFill="1" applyBorder="1" applyAlignment="1">
      <alignment horizontal="center"/>
    </xf>
    <xf numFmtId="0" fontId="26" fillId="2" borderId="28" xfId="0" applyFont="1" applyFill="1" applyBorder="1"/>
    <xf numFmtId="170" fontId="26" fillId="2" borderId="28" xfId="1" applyNumberFormat="1" applyFont="1" applyFill="1" applyBorder="1"/>
    <xf numFmtId="0" fontId="0" fillId="0" borderId="28" xfId="0" applyBorder="1"/>
    <xf numFmtId="0" fontId="56" fillId="4" borderId="28" xfId="0" applyFont="1" applyFill="1" applyBorder="1" applyAlignment="1">
      <alignment horizontal="center"/>
    </xf>
    <xf numFmtId="0" fontId="26" fillId="4" borderId="28" xfId="0" applyFont="1" applyFill="1" applyBorder="1"/>
    <xf numFmtId="170" fontId="56" fillId="4" borderId="28" xfId="1" applyNumberFormat="1" applyFont="1" applyFill="1" applyBorder="1"/>
    <xf numFmtId="170" fontId="6" fillId="0" borderId="28" xfId="1" applyNumberFormat="1" applyFont="1" applyBorder="1"/>
    <xf numFmtId="170" fontId="26" fillId="4" borderId="28" xfId="1" applyNumberFormat="1" applyFont="1" applyFill="1" applyBorder="1"/>
    <xf numFmtId="170" fontId="0" fillId="0" borderId="28" xfId="0" applyNumberFormat="1" applyBorder="1"/>
    <xf numFmtId="170" fontId="26" fillId="4" borderId="28" xfId="0" applyNumberFormat="1" applyFont="1" applyFill="1" applyBorder="1"/>
    <xf numFmtId="170" fontId="26" fillId="4" borderId="0" xfId="0" applyNumberFormat="1" applyFont="1" applyFill="1"/>
    <xf numFmtId="0" fontId="26" fillId="4" borderId="0" xfId="0" applyFont="1" applyFill="1"/>
    <xf numFmtId="170" fontId="6" fillId="0" borderId="28" xfId="0" applyNumberFormat="1" applyFont="1" applyBorder="1"/>
    <xf numFmtId="0" fontId="34" fillId="4" borderId="8" xfId="0" applyFont="1" applyFill="1" applyBorder="1" applyAlignment="1">
      <alignment horizontal="center" vertical="center"/>
    </xf>
    <xf numFmtId="0" fontId="34" fillId="4" borderId="8" xfId="0" applyFont="1" applyFill="1" applyBorder="1"/>
    <xf numFmtId="167" fontId="34" fillId="4" borderId="8" xfId="1" applyNumberFormat="1" applyFont="1" applyFill="1" applyBorder="1"/>
    <xf numFmtId="0" fontId="58" fillId="11" borderId="38" xfId="0" applyFont="1" applyFill="1" applyBorder="1" applyAlignment="1">
      <alignment horizontal="center" vertical="center" wrapText="1"/>
    </xf>
    <xf numFmtId="0" fontId="6" fillId="8" borderId="44" xfId="0" applyFont="1" applyFill="1" applyBorder="1" applyAlignment="1">
      <alignment horizontal="center" vertical="center" wrapText="1"/>
    </xf>
    <xf numFmtId="0" fontId="6" fillId="8" borderId="46" xfId="0" applyFont="1" applyFill="1" applyBorder="1" applyAlignment="1">
      <alignment vertical="top" wrapText="1"/>
    </xf>
    <xf numFmtId="0" fontId="6" fillId="8" borderId="49" xfId="0" applyFont="1" applyFill="1" applyBorder="1" applyAlignment="1">
      <alignment horizontal="center" vertical="center" wrapText="1"/>
    </xf>
    <xf numFmtId="0" fontId="6" fillId="0" borderId="46" xfId="0" applyFont="1" applyBorder="1" applyAlignment="1">
      <alignment wrapText="1"/>
    </xf>
    <xf numFmtId="0" fontId="6" fillId="8" borderId="46" xfId="0" quotePrefix="1" applyFont="1" applyFill="1" applyBorder="1" applyAlignment="1">
      <alignment horizontal="left" vertical="top" wrapText="1"/>
    </xf>
    <xf numFmtId="0" fontId="6" fillId="8" borderId="46" xfId="0" applyFont="1" applyFill="1" applyBorder="1" applyAlignment="1">
      <alignment wrapText="1"/>
    </xf>
    <xf numFmtId="0" fontId="38" fillId="8" borderId="43" xfId="0" applyFont="1" applyFill="1" applyBorder="1" applyAlignment="1">
      <alignment vertical="center" wrapText="1"/>
    </xf>
    <xf numFmtId="0" fontId="59" fillId="8" borderId="43" xfId="11" applyFont="1" applyFill="1" applyBorder="1" applyAlignment="1">
      <alignment vertical="center" wrapText="1"/>
    </xf>
    <xf numFmtId="0" fontId="38" fillId="8" borderId="45" xfId="0" applyFont="1" applyFill="1" applyBorder="1" applyAlignment="1">
      <alignment vertical="center" wrapText="1"/>
    </xf>
    <xf numFmtId="0" fontId="38" fillId="0" borderId="0" xfId="0" applyFont="1" applyAlignment="1">
      <alignment wrapText="1"/>
    </xf>
    <xf numFmtId="0" fontId="6" fillId="0" borderId="44" xfId="0" applyFont="1" applyBorder="1" applyAlignment="1">
      <alignment horizontal="center" vertical="center" wrapText="1"/>
    </xf>
    <xf numFmtId="0" fontId="62" fillId="8" borderId="44" xfId="0" applyFont="1" applyFill="1" applyBorder="1" applyAlignment="1">
      <alignment horizontal="center" wrapText="1"/>
    </xf>
    <xf numFmtId="0" fontId="62" fillId="10" borderId="47" xfId="0" applyFont="1" applyFill="1" applyBorder="1" applyAlignment="1">
      <alignment horizontal="center" wrapText="1"/>
    </xf>
    <xf numFmtId="0" fontId="6" fillId="10" borderId="48" xfId="0" applyFont="1" applyFill="1" applyBorder="1" applyAlignment="1">
      <alignment horizontal="center" vertical="center" wrapText="1"/>
    </xf>
    <xf numFmtId="0" fontId="6" fillId="8" borderId="41" xfId="0" applyFont="1" applyFill="1" applyBorder="1" applyAlignment="1">
      <alignment vertical="top" wrapText="1"/>
    </xf>
    <xf numFmtId="0" fontId="6" fillId="0" borderId="41" xfId="0" applyFont="1" applyBorder="1" applyAlignment="1">
      <alignment vertical="top" wrapText="1"/>
    </xf>
    <xf numFmtId="0" fontId="6" fillId="0" borderId="49" xfId="0" applyFont="1" applyBorder="1" applyAlignment="1">
      <alignment horizontal="center" vertical="center" wrapText="1"/>
    </xf>
    <xf numFmtId="0" fontId="6" fillId="8" borderId="44" xfId="0" applyFont="1" applyFill="1" applyBorder="1" applyAlignment="1">
      <alignment horizontal="center" wrapText="1"/>
    </xf>
    <xf numFmtId="0" fontId="6" fillId="8" borderId="44" xfId="0" applyFont="1" applyFill="1" applyBorder="1" applyAlignment="1">
      <alignment wrapText="1"/>
    </xf>
    <xf numFmtId="0" fontId="6" fillId="8" borderId="0" xfId="0" applyFont="1" applyFill="1" applyAlignment="1">
      <alignment vertical="top" wrapText="1"/>
    </xf>
    <xf numFmtId="0" fontId="6" fillId="8" borderId="0" xfId="0" applyFont="1" applyFill="1" applyAlignment="1">
      <alignment horizontal="left" vertical="top" wrapText="1"/>
    </xf>
    <xf numFmtId="0" fontId="63" fillId="8" borderId="0" xfId="0" applyFont="1" applyFill="1" applyAlignment="1">
      <alignment wrapText="1"/>
    </xf>
    <xf numFmtId="0" fontId="62" fillId="8" borderId="0" xfId="0" applyFont="1" applyFill="1" applyAlignment="1">
      <alignment horizontal="left" wrapText="1"/>
    </xf>
    <xf numFmtId="0" fontId="62" fillId="8" borderId="0" xfId="0" applyFont="1" applyFill="1" applyAlignment="1">
      <alignment wrapText="1"/>
    </xf>
    <xf numFmtId="0" fontId="63" fillId="8" borderId="0" xfId="0" applyFont="1" applyFill="1" applyAlignment="1">
      <alignment horizontal="left" wrapText="1"/>
    </xf>
    <xf numFmtId="0" fontId="6" fillId="0" borderId="0" xfId="0" applyFont="1" applyAlignment="1">
      <alignment vertical="top" wrapText="1"/>
    </xf>
    <xf numFmtId="0" fontId="6" fillId="0" borderId="0" xfId="0" applyFont="1" applyAlignment="1">
      <alignment horizontal="left" vertical="top" wrapText="1"/>
    </xf>
    <xf numFmtId="0" fontId="39" fillId="8" borderId="0" xfId="0" applyFont="1" applyFill="1" applyAlignment="1">
      <alignment horizontal="left" wrapText="1"/>
    </xf>
    <xf numFmtId="0" fontId="62" fillId="0" borderId="0" xfId="0" applyFont="1" applyAlignment="1">
      <alignment wrapText="1"/>
    </xf>
    <xf numFmtId="9" fontId="6" fillId="0" borderId="0" xfId="0" applyNumberFormat="1" applyFont="1" applyAlignment="1">
      <alignment wrapText="1"/>
    </xf>
    <xf numFmtId="0" fontId="6" fillId="8" borderId="0" xfId="0" applyFont="1" applyFill="1" applyAlignment="1">
      <alignment horizontal="left" wrapText="1"/>
    </xf>
    <xf numFmtId="0" fontId="58" fillId="11" borderId="0" xfId="0" applyFont="1" applyFill="1" applyAlignment="1">
      <alignment horizontal="center" vertical="center" wrapText="1"/>
    </xf>
    <xf numFmtId="0" fontId="6" fillId="0" borderId="43" xfId="0" applyFont="1" applyBorder="1" applyAlignment="1">
      <alignment horizontal="center" wrapText="1"/>
    </xf>
    <xf numFmtId="0" fontId="62" fillId="8" borderId="0" xfId="0" applyFont="1" applyFill="1" applyAlignment="1">
      <alignment vertical="top" wrapText="1"/>
    </xf>
    <xf numFmtId="0" fontId="9" fillId="8" borderId="0" xfId="0" applyFont="1" applyFill="1" applyAlignment="1">
      <alignment vertical="top" wrapText="1"/>
    </xf>
    <xf numFmtId="9" fontId="6" fillId="8" borderId="0" xfId="0" applyNumberFormat="1" applyFont="1" applyFill="1" applyAlignment="1">
      <alignment wrapText="1"/>
    </xf>
    <xf numFmtId="9" fontId="63" fillId="8" borderId="0" xfId="0" applyNumberFormat="1" applyFont="1" applyFill="1" applyAlignment="1">
      <alignment wrapText="1"/>
    </xf>
    <xf numFmtId="0" fontId="0" fillId="0" borderId="0" xfId="0" applyAlignment="1">
      <alignment horizontal="left"/>
    </xf>
    <xf numFmtId="0" fontId="66" fillId="0" borderId="0" xfId="0" applyFont="1"/>
    <xf numFmtId="0" fontId="65" fillId="0" borderId="0" xfId="11" applyFont="1" applyAlignment="1">
      <alignment vertical="center"/>
    </xf>
    <xf numFmtId="0" fontId="67" fillId="0" borderId="0" xfId="0" applyFont="1" applyAlignment="1">
      <alignment vertical="center"/>
    </xf>
    <xf numFmtId="0" fontId="68" fillId="2" borderId="28" xfId="0" applyFont="1" applyFill="1" applyBorder="1" applyAlignment="1">
      <alignment horizontal="center" vertical="center" wrapText="1"/>
    </xf>
    <xf numFmtId="14" fontId="68" fillId="2" borderId="28" xfId="0" applyNumberFormat="1" applyFont="1" applyFill="1" applyBorder="1" applyAlignment="1">
      <alignment horizontal="center" vertical="center" wrapText="1"/>
    </xf>
    <xf numFmtId="0" fontId="45" fillId="0" borderId="28" xfId="0" applyFont="1" applyBorder="1" applyAlignment="1">
      <alignment horizontal="center" vertical="center" wrapText="1"/>
    </xf>
    <xf numFmtId="0" fontId="45" fillId="0" borderId="28" xfId="0" applyFont="1" applyBorder="1" applyAlignment="1">
      <alignment vertical="center" wrapText="1"/>
    </xf>
    <xf numFmtId="14" fontId="45" fillId="0" borderId="28" xfId="0" applyNumberFormat="1" applyFont="1" applyBorder="1" applyAlignment="1">
      <alignment horizontal="right" vertical="center" wrapText="1"/>
    </xf>
    <xf numFmtId="0" fontId="45" fillId="0" borderId="28" xfId="0" applyFont="1" applyBorder="1" applyAlignment="1">
      <alignment horizontal="right" vertical="center" wrapText="1"/>
    </xf>
    <xf numFmtId="0" fontId="48" fillId="0" borderId="28" xfId="0" applyFont="1" applyBorder="1" applyAlignment="1">
      <alignment horizontal="center" vertical="center" wrapText="1"/>
    </xf>
    <xf numFmtId="0" fontId="48" fillId="0" borderId="28" xfId="0" applyFont="1" applyBorder="1" applyAlignment="1">
      <alignment vertical="center" wrapText="1"/>
    </xf>
    <xf numFmtId="0" fontId="69" fillId="0" borderId="0" xfId="0" applyFont="1" applyAlignment="1">
      <alignment wrapText="1"/>
    </xf>
    <xf numFmtId="0" fontId="70" fillId="2" borderId="28" xfId="0" applyFont="1" applyFill="1" applyBorder="1" applyAlignment="1">
      <alignment horizontal="center" vertical="center" wrapText="1" readingOrder="1"/>
    </xf>
    <xf numFmtId="0" fontId="28" fillId="0" borderId="0" xfId="0" applyFont="1" applyAlignment="1">
      <alignment wrapText="1"/>
    </xf>
    <xf numFmtId="0" fontId="7" fillId="2" borderId="28" xfId="0" applyFont="1" applyFill="1" applyBorder="1" applyAlignment="1">
      <alignment horizontal="center" vertical="center" wrapText="1" readingOrder="1"/>
    </xf>
    <xf numFmtId="4" fontId="71" fillId="0" borderId="28" xfId="0" applyNumberFormat="1" applyFont="1" applyBorder="1" applyAlignment="1">
      <alignment horizontal="right" wrapText="1" readingOrder="1"/>
    </xf>
    <xf numFmtId="0" fontId="71" fillId="0" borderId="28" xfId="0" applyFont="1" applyBorder="1" applyAlignment="1">
      <alignment horizontal="right" wrapText="1" readingOrder="1"/>
    </xf>
    <xf numFmtId="10" fontId="71" fillId="0" borderId="28" xfId="0" applyNumberFormat="1" applyFont="1" applyBorder="1" applyAlignment="1">
      <alignment horizontal="center" wrapText="1" readingOrder="1"/>
    </xf>
    <xf numFmtId="0" fontId="72" fillId="12" borderId="28" xfId="0" applyFont="1" applyFill="1" applyBorder="1" applyAlignment="1">
      <alignment horizontal="center" vertical="center" wrapText="1" readingOrder="1"/>
    </xf>
    <xf numFmtId="0" fontId="7" fillId="14" borderId="28" xfId="0" applyFont="1" applyFill="1" applyBorder="1" applyAlignment="1">
      <alignment horizontal="center" vertical="center" wrapText="1" readingOrder="1"/>
    </xf>
    <xf numFmtId="0" fontId="28" fillId="13" borderId="28" xfId="0" applyFont="1" applyFill="1" applyBorder="1" applyAlignment="1">
      <alignment horizontal="right" vertical="center" wrapText="1"/>
    </xf>
    <xf numFmtId="0" fontId="28" fillId="13" borderId="28" xfId="0" applyFont="1" applyFill="1" applyBorder="1" applyAlignment="1">
      <alignment horizontal="center" vertical="center" wrapText="1"/>
    </xf>
    <xf numFmtId="0" fontId="7" fillId="2" borderId="28" xfId="0" applyFont="1" applyFill="1" applyBorder="1" applyAlignment="1">
      <alignment horizontal="left" vertical="center" wrapText="1" readingOrder="1"/>
    </xf>
    <xf numFmtId="0" fontId="71" fillId="0" borderId="28" xfId="0" applyFont="1" applyBorder="1" applyAlignment="1">
      <alignment horizontal="left" wrapText="1" readingOrder="1"/>
    </xf>
    <xf numFmtId="0" fontId="37" fillId="0" borderId="28" xfId="0" applyFont="1" applyBorder="1" applyAlignment="1">
      <alignment horizontal="left" vertical="center" readingOrder="1"/>
    </xf>
    <xf numFmtId="0" fontId="40" fillId="12" borderId="28" xfId="0" applyFont="1" applyFill="1" applyBorder="1" applyAlignment="1">
      <alignment horizontal="center" readingOrder="1"/>
    </xf>
    <xf numFmtId="0" fontId="37" fillId="13" borderId="28" xfId="0" applyFont="1" applyFill="1" applyBorder="1"/>
    <xf numFmtId="0" fontId="37" fillId="13" borderId="28" xfId="0" applyFont="1" applyFill="1" applyBorder="1" applyAlignment="1">
      <alignment horizontal="center"/>
    </xf>
    <xf numFmtId="0" fontId="70" fillId="0" borderId="0" xfId="0" applyFont="1" applyAlignment="1">
      <alignment horizontal="left" vertical="center" wrapText="1" readingOrder="1"/>
    </xf>
    <xf numFmtId="0" fontId="7" fillId="2" borderId="28" xfId="0" applyFont="1" applyFill="1" applyBorder="1" applyAlignment="1">
      <alignment horizontal="center" vertical="center" readingOrder="1"/>
    </xf>
    <xf numFmtId="0" fontId="71" fillId="0" borderId="28" xfId="0" applyFont="1" applyBorder="1" applyAlignment="1">
      <alignment horizontal="center" readingOrder="1"/>
    </xf>
    <xf numFmtId="4" fontId="71" fillId="0" borderId="28" xfId="0" applyNumberFormat="1" applyFont="1" applyBorder="1" applyAlignment="1">
      <alignment horizontal="right" readingOrder="1"/>
    </xf>
    <xf numFmtId="0" fontId="71" fillId="0" borderId="28" xfId="0" applyFont="1" applyBorder="1" applyAlignment="1">
      <alignment horizontal="right" readingOrder="1"/>
    </xf>
    <xf numFmtId="10" fontId="71" fillId="0" borderId="28" xfId="0" applyNumberFormat="1" applyFont="1" applyBorder="1" applyAlignment="1">
      <alignment horizontal="center" readingOrder="1"/>
    </xf>
    <xf numFmtId="0" fontId="72" fillId="12" borderId="28" xfId="0" applyFont="1" applyFill="1" applyBorder="1" applyAlignment="1">
      <alignment horizontal="center" vertical="center" readingOrder="1"/>
    </xf>
    <xf numFmtId="0" fontId="7" fillId="14" borderId="28" xfId="0" applyFont="1" applyFill="1" applyBorder="1" applyAlignment="1">
      <alignment horizontal="center" vertical="center" readingOrder="1"/>
    </xf>
    <xf numFmtId="0" fontId="72" fillId="15" borderId="28" xfId="0" applyFont="1" applyFill="1" applyBorder="1" applyAlignment="1">
      <alignment horizontal="center" vertical="center" readingOrder="1"/>
    </xf>
    <xf numFmtId="0" fontId="74" fillId="13" borderId="28" xfId="0" applyFont="1" applyFill="1" applyBorder="1" applyAlignment="1">
      <alignment horizontal="right" vertical="center"/>
    </xf>
    <xf numFmtId="0" fontId="74" fillId="13" borderId="28" xfId="0" applyFont="1" applyFill="1" applyBorder="1" applyAlignment="1">
      <alignment horizontal="center" vertical="center"/>
    </xf>
    <xf numFmtId="0" fontId="77" fillId="12" borderId="28" xfId="0" applyFont="1" applyFill="1" applyBorder="1" applyAlignment="1">
      <alignment horizontal="center" vertical="center" readingOrder="1"/>
    </xf>
    <xf numFmtId="0" fontId="73" fillId="14" borderId="28" xfId="0" applyFont="1" applyFill="1" applyBorder="1" applyAlignment="1">
      <alignment horizontal="center" vertical="center" readingOrder="1"/>
    </xf>
    <xf numFmtId="0" fontId="79" fillId="12" borderId="28" xfId="0" applyFont="1" applyFill="1" applyBorder="1" applyAlignment="1">
      <alignment horizontal="center" vertical="center" readingOrder="1"/>
    </xf>
    <xf numFmtId="0" fontId="78" fillId="0" borderId="28" xfId="0" applyFont="1" applyBorder="1" applyAlignment="1">
      <alignment horizontal="center" vertical="center" readingOrder="1"/>
    </xf>
    <xf numFmtId="0" fontId="75" fillId="0" borderId="30" xfId="0" applyFont="1" applyBorder="1" applyAlignment="1">
      <alignment horizontal="center" vertical="center" readingOrder="1"/>
    </xf>
    <xf numFmtId="0" fontId="77" fillId="12" borderId="30" xfId="0" applyFont="1" applyFill="1" applyBorder="1" applyAlignment="1">
      <alignment horizontal="center" vertical="center" readingOrder="1"/>
    </xf>
    <xf numFmtId="0" fontId="73" fillId="2" borderId="0" xfId="0" applyFont="1" applyFill="1" applyAlignment="1">
      <alignment horizontal="center" vertical="center" readingOrder="1"/>
    </xf>
    <xf numFmtId="0" fontId="46" fillId="0" borderId="28" xfId="0" applyFont="1" applyBorder="1" applyAlignment="1">
      <alignment horizontal="center" vertical="center" wrapText="1" readingOrder="1"/>
    </xf>
    <xf numFmtId="0" fontId="46" fillId="0" borderId="28" xfId="0" applyFont="1" applyBorder="1" applyAlignment="1">
      <alignment horizontal="center" wrapText="1" readingOrder="1"/>
    </xf>
    <xf numFmtId="10" fontId="46" fillId="0" borderId="28" xfId="0" applyNumberFormat="1" applyFont="1" applyBorder="1" applyAlignment="1">
      <alignment horizontal="center" wrapText="1" readingOrder="1"/>
    </xf>
    <xf numFmtId="0" fontId="46" fillId="0" borderId="28" xfId="0" applyFont="1" applyBorder="1" applyAlignment="1">
      <alignment horizontal="right" wrapText="1" readingOrder="1"/>
    </xf>
    <xf numFmtId="10" fontId="46" fillId="0" borderId="28" xfId="0" applyNumberFormat="1" applyFont="1" applyBorder="1" applyAlignment="1">
      <alignment horizontal="center" vertical="center" wrapText="1" readingOrder="1"/>
    </xf>
    <xf numFmtId="0" fontId="72" fillId="12" borderId="28" xfId="0" applyFont="1" applyFill="1" applyBorder="1" applyAlignment="1">
      <alignment horizontal="center" wrapText="1" readingOrder="1"/>
    </xf>
    <xf numFmtId="0" fontId="80" fillId="12" borderId="28" xfId="0" applyFont="1" applyFill="1" applyBorder="1" applyAlignment="1">
      <alignment horizontal="center" wrapText="1" readingOrder="1"/>
    </xf>
    <xf numFmtId="0" fontId="7" fillId="14" borderId="28" xfId="0" applyFont="1" applyFill="1" applyBorder="1" applyAlignment="1">
      <alignment horizontal="center" wrapText="1" readingOrder="1"/>
    </xf>
    <xf numFmtId="0" fontId="7" fillId="2" borderId="28" xfId="0" applyFont="1" applyFill="1" applyBorder="1" applyAlignment="1">
      <alignment horizontal="justify" vertical="center" wrapText="1" readingOrder="1"/>
    </xf>
    <xf numFmtId="0" fontId="80" fillId="15" borderId="28" xfId="0" applyFont="1" applyFill="1" applyBorder="1" applyAlignment="1">
      <alignment horizontal="center" vertical="center" wrapText="1" readingOrder="1"/>
    </xf>
    <xf numFmtId="0" fontId="80" fillId="12" borderId="28" xfId="0" applyFont="1" applyFill="1" applyBorder="1" applyAlignment="1">
      <alignment horizontal="center" vertical="center" wrapText="1" readingOrder="1"/>
    </xf>
    <xf numFmtId="0" fontId="82" fillId="13" borderId="28" xfId="0" applyFont="1" applyFill="1" applyBorder="1" applyAlignment="1">
      <alignment horizontal="center" vertical="center" wrapText="1" readingOrder="1"/>
    </xf>
    <xf numFmtId="0" fontId="7" fillId="13" borderId="28" xfId="0" applyFont="1" applyFill="1" applyBorder="1" applyAlignment="1">
      <alignment horizontal="center" vertical="center" wrapText="1" readingOrder="1"/>
    </xf>
    <xf numFmtId="0" fontId="6" fillId="0" borderId="0" xfId="0" applyFont="1" applyAlignment="1">
      <alignment horizontal="center" vertical="center" wrapText="1"/>
    </xf>
    <xf numFmtId="0" fontId="73" fillId="2" borderId="0" xfId="0" applyFont="1" applyFill="1" applyAlignment="1">
      <alignment horizontal="center" vertical="center" wrapText="1" readingOrder="1"/>
    </xf>
    <xf numFmtId="0" fontId="37" fillId="0" borderId="28" xfId="0" applyFont="1" applyBorder="1" applyAlignment="1">
      <alignment horizontal="left" wrapText="1" readingOrder="1"/>
    </xf>
    <xf numFmtId="0" fontId="0" fillId="0" borderId="0" xfId="0" applyAlignment="1">
      <alignment vertical="center"/>
    </xf>
    <xf numFmtId="0" fontId="26" fillId="2" borderId="0" xfId="0" applyFont="1" applyFill="1" applyAlignment="1">
      <alignment horizontal="center" vertical="center" wrapText="1"/>
    </xf>
    <xf numFmtId="0" fontId="26" fillId="2" borderId="0" xfId="0" applyFont="1" applyFill="1" applyAlignment="1">
      <alignment horizontal="left" vertical="center" wrapText="1"/>
    </xf>
    <xf numFmtId="0" fontId="25"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vertical="center" wrapText="1"/>
    </xf>
    <xf numFmtId="0" fontId="42" fillId="0" borderId="0" xfId="0" applyFont="1" applyAlignment="1">
      <alignment vertical="center" wrapText="1"/>
    </xf>
    <xf numFmtId="0" fontId="60" fillId="0" borderId="28" xfId="11" applyFont="1" applyFill="1" applyBorder="1" applyAlignment="1" applyProtection="1">
      <alignment vertical="center" wrapText="1"/>
    </xf>
    <xf numFmtId="0" fontId="6" fillId="0" borderId="28" xfId="0" applyFont="1" applyBorder="1" applyAlignment="1">
      <alignment vertical="center" wrapText="1"/>
    </xf>
    <xf numFmtId="0" fontId="61" fillId="0" borderId="28" xfId="0" applyFont="1" applyBorder="1" applyAlignment="1">
      <alignment vertical="center" wrapText="1"/>
    </xf>
    <xf numFmtId="0" fontId="6" fillId="0" borderId="28" xfId="0" applyFont="1" applyBorder="1" applyAlignment="1">
      <alignment horizontal="center" vertical="center" wrapText="1"/>
    </xf>
    <xf numFmtId="166" fontId="83" fillId="0" borderId="0" xfId="4" applyNumberFormat="1" applyFont="1" applyAlignment="1">
      <alignment vertical="center"/>
    </xf>
    <xf numFmtId="0" fontId="45" fillId="0" borderId="0" xfId="0" applyFont="1"/>
    <xf numFmtId="0" fontId="51" fillId="16" borderId="28" xfId="0" applyFont="1" applyFill="1" applyBorder="1" applyAlignment="1">
      <alignment vertical="center"/>
    </xf>
    <xf numFmtId="0" fontId="12" fillId="0" borderId="28" xfId="0" applyFont="1" applyBorder="1" applyAlignment="1">
      <alignment horizontal="left" vertical="center" readingOrder="1"/>
    </xf>
    <xf numFmtId="0" fontId="37" fillId="17" borderId="28" xfId="0" applyFont="1" applyFill="1" applyBorder="1"/>
    <xf numFmtId="0" fontId="37" fillId="0" borderId="28" xfId="0" applyFont="1" applyBorder="1" applyAlignment="1"/>
    <xf numFmtId="0" fontId="37" fillId="0" borderId="29" xfId="0" applyFont="1" applyBorder="1" applyAlignment="1"/>
    <xf numFmtId="0" fontId="6" fillId="0" borderId="50" xfId="0" applyFont="1" applyBorder="1"/>
    <xf numFmtId="0" fontId="37" fillId="0" borderId="28" xfId="0" applyFont="1" applyBorder="1" applyAlignment="1">
      <alignment horizontal="left" vertical="center" wrapText="1"/>
    </xf>
    <xf numFmtId="0" fontId="6" fillId="0" borderId="50" xfId="0" applyFont="1" applyBorder="1" applyAlignment="1">
      <alignment horizontal="left"/>
    </xf>
    <xf numFmtId="10" fontId="37" fillId="0" borderId="29" xfId="2" applyNumberFormat="1" applyFont="1" applyFill="1" applyBorder="1" applyAlignment="1">
      <alignment horizontal="right" vertical="center"/>
    </xf>
    <xf numFmtId="10" fontId="37" fillId="0" borderId="0" xfId="2" applyNumberFormat="1" applyFont="1" applyFill="1" applyBorder="1" applyAlignment="1">
      <alignment horizontal="right" vertical="center"/>
    </xf>
    <xf numFmtId="10" fontId="37" fillId="0" borderId="30" xfId="2" applyNumberFormat="1" applyFont="1" applyFill="1" applyBorder="1" applyAlignment="1">
      <alignment horizontal="right" vertical="center"/>
    </xf>
    <xf numFmtId="0" fontId="37" fillId="0" borderId="28" xfId="0" applyFont="1" applyBorder="1" applyAlignment="1">
      <alignment vertical="center"/>
    </xf>
    <xf numFmtId="0" fontId="37" fillId="0" borderId="28" xfId="0" applyFont="1" applyBorder="1" applyAlignment="1">
      <alignment horizontal="center" vertical="center"/>
    </xf>
    <xf numFmtId="0" fontId="37" fillId="0" borderId="29" xfId="0" applyFont="1" applyBorder="1" applyAlignment="1">
      <alignment horizontal="center" vertical="center"/>
    </xf>
    <xf numFmtId="0" fontId="37" fillId="0" borderId="0" xfId="0" applyFont="1" applyAlignment="1">
      <alignment horizontal="center" vertical="center"/>
    </xf>
    <xf numFmtId="0" fontId="37" fillId="0" borderId="30" xfId="0" applyFont="1" applyBorder="1" applyAlignment="1">
      <alignment horizontal="center" vertical="center"/>
    </xf>
    <xf numFmtId="0" fontId="37" fillId="0" borderId="29" xfId="0" applyFont="1" applyBorder="1" applyAlignment="1">
      <alignment horizontal="left" vertical="center"/>
    </xf>
    <xf numFmtId="0" fontId="37" fillId="0" borderId="0" xfId="0" applyFont="1" applyAlignment="1">
      <alignment horizontal="left" vertical="center"/>
    </xf>
    <xf numFmtId="0" fontId="37" fillId="0" borderId="30" xfId="0" applyFont="1" applyBorder="1" applyAlignment="1">
      <alignment horizontal="left" vertical="center"/>
    </xf>
    <xf numFmtId="0" fontId="7" fillId="2" borderId="31" xfId="0" applyFont="1" applyFill="1" applyBorder="1" applyAlignment="1">
      <alignment horizontal="center" vertical="center"/>
    </xf>
    <xf numFmtId="0" fontId="26" fillId="5" borderId="8" xfId="0" applyFont="1" applyFill="1" applyBorder="1" applyAlignment="1">
      <alignment horizontal="center" vertical="center" wrapText="1"/>
    </xf>
    <xf numFmtId="0" fontId="26" fillId="5" borderId="8" xfId="0" applyFont="1" applyFill="1" applyBorder="1" applyAlignment="1">
      <alignment horizontal="center" vertical="center"/>
    </xf>
    <xf numFmtId="3" fontId="6" fillId="0" borderId="8" xfId="0" applyNumberFormat="1" applyFont="1" applyBorder="1" applyAlignment="1">
      <alignment horizontal="center" vertical="center"/>
    </xf>
    <xf numFmtId="0" fontId="26" fillId="5" borderId="9" xfId="0" applyFont="1" applyFill="1" applyBorder="1" applyAlignment="1">
      <alignment horizontal="center" vertical="center" wrapText="1"/>
    </xf>
    <xf numFmtId="0" fontId="26" fillId="5" borderId="10" xfId="0" applyFont="1" applyFill="1" applyBorder="1" applyAlignment="1">
      <alignment horizontal="center" vertical="center" wrapText="1"/>
    </xf>
    <xf numFmtId="3" fontId="6" fillId="0" borderId="12" xfId="10" applyNumberFormat="1" applyFont="1" applyBorder="1" applyAlignment="1">
      <alignment horizontal="center" vertical="center"/>
    </xf>
    <xf numFmtId="3" fontId="6" fillId="0" borderId="13" xfId="10" applyNumberFormat="1" applyFont="1" applyBorder="1" applyAlignment="1">
      <alignment horizontal="center" vertical="center"/>
    </xf>
    <xf numFmtId="3" fontId="6" fillId="0" borderId="14" xfId="10" applyNumberFormat="1" applyFont="1" applyBorder="1" applyAlignment="1">
      <alignment horizontal="center" vertical="center"/>
    </xf>
    <xf numFmtId="3" fontId="6" fillId="0" borderId="15" xfId="10" applyNumberFormat="1" applyFont="1" applyBorder="1" applyAlignment="1">
      <alignment horizontal="center" vertical="center"/>
    </xf>
    <xf numFmtId="0" fontId="27" fillId="0" borderId="15" xfId="0" applyFont="1" applyBorder="1" applyAlignment="1">
      <alignment horizontal="center" vertical="center" wrapText="1" readingOrder="1"/>
    </xf>
    <xf numFmtId="0" fontId="27" fillId="0" borderId="13" xfId="0" applyFont="1" applyBorder="1" applyAlignment="1">
      <alignment horizontal="center" vertical="center" wrapText="1" readingOrder="1"/>
    </xf>
    <xf numFmtId="0" fontId="27" fillId="0" borderId="14" xfId="0" applyFont="1" applyBorder="1" applyAlignment="1">
      <alignment horizontal="center" vertical="center" wrapText="1" readingOrder="1"/>
    </xf>
    <xf numFmtId="0" fontId="27" fillId="0" borderId="16" xfId="0" applyFont="1" applyBorder="1" applyAlignment="1">
      <alignment horizontal="center" vertical="center" wrapText="1" readingOrder="1"/>
    </xf>
    <xf numFmtId="171" fontId="6" fillId="0" borderId="21" xfId="10" applyNumberFormat="1" applyFont="1" applyBorder="1" applyAlignment="1">
      <alignment horizontal="center" vertical="center"/>
    </xf>
    <xf numFmtId="171" fontId="6" fillId="0" borderId="22" xfId="10" applyNumberFormat="1" applyFont="1" applyBorder="1" applyAlignment="1">
      <alignment horizontal="center" vertical="center"/>
    </xf>
    <xf numFmtId="171" fontId="6" fillId="0" borderId="17" xfId="10" applyNumberFormat="1" applyFont="1" applyBorder="1" applyAlignment="1">
      <alignment horizontal="center" vertical="center"/>
    </xf>
    <xf numFmtId="171" fontId="6" fillId="0" borderId="18" xfId="10" applyNumberFormat="1" applyFont="1" applyBorder="1" applyAlignment="1">
      <alignment horizontal="center" vertical="center"/>
    </xf>
    <xf numFmtId="171" fontId="6" fillId="0" borderId="19" xfId="10" applyNumberFormat="1" applyFont="1" applyBorder="1" applyAlignment="1">
      <alignment horizontal="center" vertical="center"/>
    </xf>
    <xf numFmtId="171" fontId="6" fillId="0" borderId="20" xfId="10" applyNumberFormat="1" applyFont="1" applyBorder="1" applyAlignment="1">
      <alignment horizontal="center" vertical="center"/>
    </xf>
    <xf numFmtId="0" fontId="26" fillId="5" borderId="23" xfId="0" applyFont="1" applyFill="1" applyBorder="1" applyAlignment="1">
      <alignment horizontal="center" vertical="center" wrapText="1"/>
    </xf>
    <xf numFmtId="0" fontId="26" fillId="5" borderId="24" xfId="0" applyFont="1" applyFill="1" applyBorder="1" applyAlignment="1">
      <alignment horizontal="center" vertical="center" wrapText="1"/>
    </xf>
    <xf numFmtId="4" fontId="6" fillId="0" borderId="21" xfId="10" applyNumberFormat="1" applyFont="1" applyBorder="1" applyAlignment="1">
      <alignment horizontal="center" vertical="center"/>
    </xf>
    <xf numFmtId="4" fontId="6" fillId="0" borderId="22" xfId="10" applyNumberFormat="1" applyFont="1" applyBorder="1" applyAlignment="1">
      <alignment horizontal="center" vertical="center"/>
    </xf>
    <xf numFmtId="4" fontId="6" fillId="0" borderId="17" xfId="10" applyNumberFormat="1" applyFont="1" applyBorder="1" applyAlignment="1">
      <alignment horizontal="center" vertical="center"/>
    </xf>
    <xf numFmtId="4" fontId="6" fillId="0" borderId="18" xfId="10" applyNumberFormat="1" applyFont="1" applyBorder="1" applyAlignment="1">
      <alignment horizontal="center" vertical="center"/>
    </xf>
    <xf numFmtId="4" fontId="6" fillId="0" borderId="19" xfId="10" applyNumberFormat="1" applyFont="1" applyBorder="1" applyAlignment="1">
      <alignment horizontal="center" vertical="center"/>
    </xf>
    <xf numFmtId="4" fontId="6" fillId="0" borderId="20" xfId="10" applyNumberFormat="1" applyFont="1" applyBorder="1" applyAlignment="1">
      <alignment horizontal="center" vertical="center"/>
    </xf>
    <xf numFmtId="0" fontId="8" fillId="8" borderId="29" xfId="0" applyFont="1" applyFill="1" applyBorder="1" applyAlignment="1">
      <alignment horizontal="left" vertical="center" wrapText="1"/>
    </xf>
    <xf numFmtId="0" fontId="8" fillId="8" borderId="0" xfId="0" applyFont="1" applyFill="1" applyAlignment="1">
      <alignment horizontal="left" vertical="center" wrapText="1"/>
    </xf>
    <xf numFmtId="0" fontId="8" fillId="8" borderId="29" xfId="0" applyFont="1" applyFill="1" applyBorder="1" applyAlignment="1">
      <alignment horizontal="center" vertical="center" wrapText="1"/>
    </xf>
    <xf numFmtId="0" fontId="8" fillId="8" borderId="0" xfId="0" applyFont="1" applyFill="1" applyAlignment="1">
      <alignment horizontal="center" vertical="center" wrapText="1"/>
    </xf>
    <xf numFmtId="0" fontId="8" fillId="8" borderId="30" xfId="0" applyFont="1" applyFill="1" applyBorder="1" applyAlignment="1">
      <alignment horizontal="left" vertical="center" wrapText="1"/>
    </xf>
    <xf numFmtId="0" fontId="8" fillId="8" borderId="30" xfId="0" applyFont="1" applyFill="1" applyBorder="1" applyAlignment="1">
      <alignment horizontal="center" vertical="center" wrapText="1"/>
    </xf>
    <xf numFmtId="0" fontId="7" fillId="2" borderId="0" xfId="0" applyFont="1" applyFill="1" applyAlignment="1">
      <alignment horizontal="center" vertical="center" wrapText="1"/>
    </xf>
    <xf numFmtId="0" fontId="8" fillId="8" borderId="29" xfId="0" applyFont="1" applyFill="1" applyBorder="1" applyAlignment="1">
      <alignment horizontal="center" vertical="center"/>
    </xf>
    <xf numFmtId="0" fontId="8" fillId="8" borderId="0" xfId="0" applyFont="1" applyFill="1" applyAlignment="1">
      <alignment horizontal="center" vertical="center"/>
    </xf>
    <xf numFmtId="0" fontId="8" fillId="8" borderId="30" xfId="0" applyFont="1" applyFill="1" applyBorder="1" applyAlignment="1">
      <alignment horizontal="center" vertical="center"/>
    </xf>
    <xf numFmtId="0" fontId="7" fillId="2" borderId="0" xfId="0" applyFont="1" applyFill="1" applyAlignment="1">
      <alignment horizontal="center" vertical="center"/>
    </xf>
    <xf numFmtId="0" fontId="7" fillId="2" borderId="0" xfId="0" applyFont="1" applyFill="1" applyAlignment="1">
      <alignment horizontal="left" vertical="center"/>
    </xf>
    <xf numFmtId="14" fontId="7" fillId="2" borderId="0" xfId="0" applyNumberFormat="1" applyFont="1" applyFill="1" applyAlignment="1">
      <alignment horizontal="center" vertical="center"/>
    </xf>
    <xf numFmtId="0" fontId="5" fillId="2" borderId="5" xfId="4" applyFont="1" applyFill="1" applyBorder="1" applyAlignment="1">
      <alignment horizontal="center" vertical="center" wrapText="1"/>
    </xf>
    <xf numFmtId="0" fontId="5" fillId="2" borderId="0" xfId="4" applyFont="1" applyFill="1" applyAlignment="1">
      <alignment horizontal="center" vertical="center" wrapText="1"/>
    </xf>
    <xf numFmtId="0" fontId="5" fillId="2" borderId="4" xfId="4" applyFont="1" applyFill="1" applyBorder="1" applyAlignment="1">
      <alignment horizontal="center" vertical="center" wrapText="1"/>
    </xf>
    <xf numFmtId="0" fontId="5" fillId="2" borderId="1" xfId="4" applyFont="1" applyFill="1" applyBorder="1" applyAlignment="1">
      <alignment horizontal="center" vertical="center" wrapText="1"/>
    </xf>
    <xf numFmtId="0" fontId="5" fillId="0" borderId="33" xfId="4" applyFont="1" applyBorder="1" applyAlignment="1">
      <alignment horizontal="center" vertical="center" wrapText="1"/>
    </xf>
    <xf numFmtId="0" fontId="5" fillId="2" borderId="6" xfId="4" applyFont="1" applyFill="1" applyBorder="1" applyAlignment="1">
      <alignment horizontal="center" vertical="center" wrapText="1"/>
    </xf>
    <xf numFmtId="0" fontId="7" fillId="2" borderId="3" xfId="0" applyFont="1" applyFill="1" applyBorder="1" applyAlignment="1">
      <alignment horizontal="center" vertical="center"/>
    </xf>
    <xf numFmtId="0" fontId="11" fillId="2" borderId="2" xfId="0" applyFont="1" applyFill="1" applyBorder="1" applyAlignment="1">
      <alignment horizontal="center" vertical="center" wrapText="1"/>
    </xf>
    <xf numFmtId="0" fontId="34" fillId="2" borderId="8" xfId="0" applyFont="1" applyFill="1" applyBorder="1" applyAlignment="1">
      <alignment horizontal="center" vertical="center"/>
    </xf>
    <xf numFmtId="0" fontId="34" fillId="2" borderId="15" xfId="0" applyFont="1" applyFill="1" applyBorder="1" applyAlignment="1">
      <alignment horizontal="center" vertical="center"/>
    </xf>
    <xf numFmtId="0" fontId="34" fillId="2" borderId="14" xfId="0" applyFont="1" applyFill="1" applyBorder="1" applyAlignment="1">
      <alignment horizontal="center" vertical="center"/>
    </xf>
    <xf numFmtId="0" fontId="34" fillId="2" borderId="9" xfId="0" applyFont="1" applyFill="1" applyBorder="1" applyAlignment="1">
      <alignment horizontal="center" vertical="center" wrapText="1"/>
    </xf>
    <xf numFmtId="0" fontId="34" fillId="2" borderId="25" xfId="0" applyFont="1" applyFill="1" applyBorder="1" applyAlignment="1">
      <alignment horizontal="center" vertical="center" wrapText="1"/>
    </xf>
    <xf numFmtId="0" fontId="34" fillId="2" borderId="10" xfId="0" applyFont="1" applyFill="1" applyBorder="1" applyAlignment="1">
      <alignment horizontal="center" vertical="center" wrapText="1"/>
    </xf>
    <xf numFmtId="0" fontId="34" fillId="2" borderId="8" xfId="0" applyFont="1" applyFill="1" applyBorder="1" applyAlignment="1">
      <alignment horizontal="center" vertical="center" wrapText="1"/>
    </xf>
    <xf numFmtId="2" fontId="23" fillId="0" borderId="9" xfId="0" applyNumberFormat="1" applyFont="1" applyBorder="1" applyAlignment="1">
      <alignment horizontal="center"/>
    </xf>
    <xf numFmtId="2" fontId="23" fillId="0" borderId="10" xfId="0" applyNumberFormat="1" applyFont="1" applyBorder="1" applyAlignment="1">
      <alignment horizontal="center"/>
    </xf>
    <xf numFmtId="0" fontId="23" fillId="0" borderId="8" xfId="0" applyFont="1" applyBorder="1" applyAlignment="1">
      <alignment horizontal="left"/>
    </xf>
    <xf numFmtId="0" fontId="30" fillId="0" borderId="8" xfId="0" applyFont="1" applyBorder="1" applyAlignment="1">
      <alignment horizontal="center"/>
    </xf>
    <xf numFmtId="0" fontId="30" fillId="0" borderId="15" xfId="0" applyFont="1" applyBorder="1" applyAlignment="1">
      <alignment horizontal="center" vertical="center"/>
    </xf>
    <xf numFmtId="0" fontId="30" fillId="0" borderId="14" xfId="0" applyFont="1" applyBorder="1" applyAlignment="1">
      <alignment horizontal="center" vertical="center"/>
    </xf>
    <xf numFmtId="0" fontId="30" fillId="0" borderId="15"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15" xfId="0" applyFont="1" applyBorder="1" applyAlignment="1">
      <alignment horizontal="center" wrapText="1"/>
    </xf>
    <xf numFmtId="0" fontId="30" fillId="0" borderId="14" xfId="0" applyFont="1" applyBorder="1" applyAlignment="1">
      <alignment horizontal="center" wrapText="1"/>
    </xf>
    <xf numFmtId="0" fontId="30" fillId="0" borderId="9" xfId="0" applyFont="1" applyBorder="1" applyAlignment="1">
      <alignment horizontal="center" vertical="center"/>
    </xf>
    <xf numFmtId="0" fontId="30" fillId="0" borderId="10" xfId="0" applyFont="1" applyBorder="1" applyAlignment="1">
      <alignment horizontal="center" vertical="center"/>
    </xf>
    <xf numFmtId="0" fontId="30" fillId="0" borderId="26" xfId="0" applyFont="1" applyBorder="1" applyAlignment="1">
      <alignment horizontal="center" vertical="center"/>
    </xf>
    <xf numFmtId="0" fontId="30" fillId="0" borderId="27" xfId="0" applyFont="1" applyBorder="1" applyAlignment="1">
      <alignment horizontal="center" vertical="center"/>
    </xf>
    <xf numFmtId="0" fontId="30" fillId="0" borderId="19" xfId="0" applyFont="1" applyBorder="1" applyAlignment="1">
      <alignment horizontal="center" vertical="center"/>
    </xf>
    <xf numFmtId="0" fontId="30" fillId="0" borderId="20" xfId="0" applyFont="1" applyBorder="1" applyAlignment="1">
      <alignment horizontal="center" vertical="center"/>
    </xf>
    <xf numFmtId="0" fontId="58" fillId="11" borderId="34" xfId="0" applyFont="1" applyFill="1" applyBorder="1" applyAlignment="1">
      <alignment horizontal="center" vertical="center" wrapText="1"/>
    </xf>
    <xf numFmtId="0" fontId="58" fillId="11" borderId="37" xfId="0" applyFont="1" applyFill="1" applyBorder="1" applyAlignment="1">
      <alignment horizontal="center" vertical="center" wrapText="1"/>
    </xf>
    <xf numFmtId="0" fontId="58" fillId="11" borderId="35" xfId="0" applyFont="1" applyFill="1" applyBorder="1" applyAlignment="1">
      <alignment horizontal="center" vertical="center" wrapText="1"/>
    </xf>
    <xf numFmtId="0" fontId="58" fillId="11" borderId="38" xfId="0" applyFont="1" applyFill="1" applyBorder="1" applyAlignment="1">
      <alignment horizontal="center" vertical="center" wrapText="1"/>
    </xf>
    <xf numFmtId="0" fontId="58" fillId="11" borderId="36" xfId="0" applyFont="1" applyFill="1" applyBorder="1" applyAlignment="1">
      <alignment horizontal="center" vertical="center" wrapText="1"/>
    </xf>
    <xf numFmtId="0" fontId="58" fillId="11" borderId="39" xfId="0" applyFont="1" applyFill="1" applyBorder="1" applyAlignment="1">
      <alignment horizontal="center" vertical="center" wrapText="1"/>
    </xf>
    <xf numFmtId="0" fontId="59" fillId="8" borderId="43" xfId="11" applyFont="1" applyFill="1" applyBorder="1" applyAlignment="1">
      <alignment horizontal="center" vertical="center" wrapText="1"/>
    </xf>
    <xf numFmtId="0" fontId="59" fillId="8" borderId="45" xfId="11" applyFont="1" applyFill="1" applyBorder="1" applyAlignment="1">
      <alignment horizontal="center" vertical="center" wrapText="1"/>
    </xf>
    <xf numFmtId="0" fontId="6" fillId="8" borderId="0" xfId="0" applyFont="1" applyFill="1" applyAlignment="1">
      <alignment horizontal="center" vertical="center" wrapText="1"/>
    </xf>
    <xf numFmtId="0" fontId="6" fillId="8" borderId="46" xfId="0" applyFont="1" applyFill="1" applyBorder="1" applyAlignment="1">
      <alignment horizontal="center" vertical="center" wrapText="1"/>
    </xf>
    <xf numFmtId="14" fontId="6" fillId="8" borderId="0" xfId="0" applyNumberFormat="1" applyFont="1" applyFill="1" applyAlignment="1">
      <alignment horizontal="center" vertical="center" wrapText="1"/>
    </xf>
    <xf numFmtId="14" fontId="6" fillId="8" borderId="46" xfId="0" applyNumberFormat="1" applyFont="1" applyFill="1" applyBorder="1" applyAlignment="1">
      <alignment horizontal="center" vertical="center" wrapText="1"/>
    </xf>
    <xf numFmtId="0" fontId="62" fillId="10" borderId="0" xfId="0" applyFont="1" applyFill="1" applyAlignment="1">
      <alignment horizontal="center" vertical="top" wrapText="1"/>
    </xf>
    <xf numFmtId="0" fontId="62" fillId="10" borderId="44" xfId="0" applyFont="1" applyFill="1" applyBorder="1" applyAlignment="1">
      <alignment horizontal="center" vertical="top" wrapText="1"/>
    </xf>
    <xf numFmtId="0" fontId="62" fillId="10" borderId="41" xfId="0" applyFont="1" applyFill="1" applyBorder="1" applyAlignment="1">
      <alignment horizontal="center" wrapText="1"/>
    </xf>
    <xf numFmtId="0" fontId="62" fillId="10" borderId="42" xfId="0" applyFont="1" applyFill="1" applyBorder="1" applyAlignment="1">
      <alignment horizontal="center" wrapText="1"/>
    </xf>
    <xf numFmtId="0" fontId="6" fillId="8" borderId="44" xfId="0" applyFont="1" applyFill="1" applyBorder="1" applyAlignment="1">
      <alignment horizontal="center" vertical="center" wrapText="1"/>
    </xf>
    <xf numFmtId="0" fontId="6" fillId="8" borderId="39" xfId="0" applyFont="1" applyFill="1" applyBorder="1" applyAlignment="1">
      <alignment horizontal="center" vertical="center" wrapText="1"/>
    </xf>
    <xf numFmtId="0" fontId="59" fillId="8" borderId="40" xfId="11" applyFont="1" applyFill="1" applyBorder="1" applyAlignment="1">
      <alignment horizontal="center" vertical="center" wrapText="1"/>
    </xf>
    <xf numFmtId="0" fontId="6" fillId="8" borderId="41" xfId="0" applyFont="1" applyFill="1" applyBorder="1" applyAlignment="1">
      <alignment horizontal="center" vertical="center" wrapText="1"/>
    </xf>
    <xf numFmtId="14" fontId="6" fillId="8" borderId="41" xfId="0" applyNumberFormat="1" applyFont="1" applyFill="1" applyBorder="1" applyAlignment="1">
      <alignment horizontal="center" vertical="center" wrapText="1"/>
    </xf>
    <xf numFmtId="0" fontId="62" fillId="10" borderId="41" xfId="0" applyFont="1" applyFill="1" applyBorder="1" applyAlignment="1">
      <alignment horizontal="center" vertical="top" wrapText="1"/>
    </xf>
    <xf numFmtId="0" fontId="62" fillId="10" borderId="42" xfId="0" applyFont="1" applyFill="1" applyBorder="1" applyAlignment="1">
      <alignment horizontal="center" vertical="top" wrapText="1"/>
    </xf>
    <xf numFmtId="0" fontId="6" fillId="8" borderId="49" xfId="0" applyFont="1" applyFill="1" applyBorder="1" applyAlignment="1">
      <alignment horizontal="center" vertical="center" wrapText="1"/>
    </xf>
    <xf numFmtId="0" fontId="58" fillId="11" borderId="43" xfId="0" applyFont="1" applyFill="1" applyBorder="1" applyAlignment="1">
      <alignment horizontal="center" vertical="center" wrapText="1"/>
    </xf>
    <xf numFmtId="0" fontId="58" fillId="11" borderId="0" xfId="0" applyFont="1" applyFill="1" applyAlignment="1">
      <alignment horizontal="center" vertical="center" wrapText="1"/>
    </xf>
    <xf numFmtId="0" fontId="59" fillId="0" borderId="40" xfId="11" applyFont="1" applyBorder="1" applyAlignment="1">
      <alignment horizontal="center" vertical="center" wrapText="1"/>
    </xf>
    <xf numFmtId="0" fontId="59" fillId="0" borderId="43" xfId="11" applyFont="1" applyBorder="1" applyAlignment="1">
      <alignment horizontal="center" vertical="center" wrapText="1"/>
    </xf>
    <xf numFmtId="0" fontId="59" fillId="0" borderId="45" xfId="11" applyFont="1" applyBorder="1" applyAlignment="1">
      <alignment horizontal="center" vertical="center" wrapText="1"/>
    </xf>
    <xf numFmtId="0" fontId="6" fillId="0" borderId="41" xfId="0" applyFont="1" applyBorder="1" applyAlignment="1">
      <alignment horizontal="center" vertical="center" wrapText="1"/>
    </xf>
    <xf numFmtId="0" fontId="6" fillId="0" borderId="0" xfId="0" applyFont="1" applyAlignment="1">
      <alignment horizontal="center" vertical="center" wrapText="1"/>
    </xf>
    <xf numFmtId="0" fontId="6" fillId="0" borderId="46" xfId="0" applyFont="1" applyBorder="1" applyAlignment="1">
      <alignment horizontal="center" vertical="center" wrapText="1"/>
    </xf>
    <xf numFmtId="14" fontId="6" fillId="0" borderId="41" xfId="0" applyNumberFormat="1" applyFont="1" applyBorder="1" applyAlignment="1">
      <alignment horizontal="center" vertical="center" wrapText="1"/>
    </xf>
    <xf numFmtId="14" fontId="6" fillId="0" borderId="0" xfId="0" applyNumberFormat="1" applyFont="1" applyAlignment="1">
      <alignment horizontal="center" vertical="center" wrapText="1"/>
    </xf>
    <xf numFmtId="14" fontId="6" fillId="0" borderId="46" xfId="0" applyNumberFormat="1" applyFont="1" applyBorder="1" applyAlignment="1">
      <alignment horizontal="center" vertical="center" wrapText="1"/>
    </xf>
    <xf numFmtId="0" fontId="60" fillId="8" borderId="40" xfId="11" applyFont="1" applyFill="1" applyBorder="1" applyAlignment="1">
      <alignment horizontal="center" vertical="center" wrapText="1"/>
    </xf>
    <xf numFmtId="0" fontId="60" fillId="8" borderId="43" xfId="11" applyFont="1" applyFill="1" applyBorder="1" applyAlignment="1">
      <alignment horizontal="center" vertical="center" wrapText="1"/>
    </xf>
    <xf numFmtId="0" fontId="60" fillId="8" borderId="45" xfId="11" applyFont="1" applyFill="1" applyBorder="1" applyAlignment="1">
      <alignment horizontal="center" vertical="center" wrapText="1"/>
    </xf>
    <xf numFmtId="0" fontId="62" fillId="10" borderId="41" xfId="0" applyFont="1" applyFill="1" applyBorder="1" applyAlignment="1">
      <alignment horizontal="center" vertical="center" wrapText="1"/>
    </xf>
    <xf numFmtId="0" fontId="62" fillId="10" borderId="42" xfId="0" applyFont="1" applyFill="1" applyBorder="1" applyAlignment="1">
      <alignment horizontal="center" vertical="center" wrapText="1"/>
    </xf>
    <xf numFmtId="0" fontId="6" fillId="0" borderId="44" xfId="0" applyFont="1" applyBorder="1" applyAlignment="1">
      <alignment horizontal="center" vertical="center" wrapText="1"/>
    </xf>
    <xf numFmtId="0" fontId="46" fillId="0" borderId="28" xfId="0" applyFont="1" applyBorder="1" applyAlignment="1">
      <alignment horizontal="center" vertical="center" wrapText="1" readingOrder="1"/>
    </xf>
    <xf numFmtId="0" fontId="73" fillId="2" borderId="0" xfId="0" applyFont="1" applyFill="1" applyAlignment="1">
      <alignment horizontal="center" vertical="center" wrapText="1" readingOrder="1"/>
    </xf>
    <xf numFmtId="0" fontId="76" fillId="0" borderId="30" xfId="0" applyFont="1" applyBorder="1" applyAlignment="1">
      <alignment horizontal="center" vertical="center" readingOrder="1"/>
    </xf>
    <xf numFmtId="0" fontId="76" fillId="0" borderId="28" xfId="0" applyFont="1" applyBorder="1" applyAlignment="1">
      <alignment horizontal="center" vertical="center" readingOrder="1"/>
    </xf>
    <xf numFmtId="0" fontId="46" fillId="13" borderId="28" xfId="0" applyFont="1" applyFill="1" applyBorder="1" applyAlignment="1">
      <alignment horizontal="center" wrapText="1" readingOrder="1"/>
    </xf>
    <xf numFmtId="0" fontId="7" fillId="2" borderId="28" xfId="0" applyFont="1" applyFill="1" applyBorder="1" applyAlignment="1">
      <alignment horizontal="left" vertical="center" wrapText="1" readingOrder="1"/>
    </xf>
    <xf numFmtId="0" fontId="7" fillId="2" borderId="28" xfId="0" applyFont="1" applyFill="1" applyBorder="1" applyAlignment="1">
      <alignment horizontal="center" vertical="center" wrapText="1" readingOrder="1"/>
    </xf>
    <xf numFmtId="0" fontId="37" fillId="0" borderId="29" xfId="0" applyFont="1" applyBorder="1" applyAlignment="1">
      <alignment horizontal="left" vertical="center" wrapText="1" readingOrder="1"/>
    </xf>
    <xf numFmtId="0" fontId="37" fillId="0" borderId="0" xfId="0" applyFont="1" applyAlignment="1">
      <alignment horizontal="left" vertical="center" wrapText="1" readingOrder="1"/>
    </xf>
    <xf numFmtId="0" fontId="37" fillId="0" borderId="30" xfId="0" applyFont="1" applyBorder="1" applyAlignment="1">
      <alignment horizontal="left" vertical="center" wrapText="1" readingOrder="1"/>
    </xf>
    <xf numFmtId="0" fontId="81" fillId="0" borderId="28" xfId="0" applyFont="1" applyBorder="1" applyAlignment="1">
      <alignment horizontal="left" vertical="center" wrapText="1" readingOrder="1"/>
    </xf>
    <xf numFmtId="0" fontId="60" fillId="0" borderId="28" xfId="11" applyFont="1" applyBorder="1" applyAlignment="1">
      <alignment horizontal="left" vertical="center" wrapText="1" readingOrder="1"/>
    </xf>
    <xf numFmtId="0" fontId="27" fillId="0" borderId="28" xfId="0" applyFont="1" applyBorder="1" applyAlignment="1">
      <alignment horizontal="left" vertical="center" wrapText="1" readingOrder="1"/>
    </xf>
    <xf numFmtId="0" fontId="46" fillId="0" borderId="28" xfId="0" applyFont="1" applyBorder="1" applyAlignment="1">
      <alignment horizontal="center" wrapText="1" readingOrder="1"/>
    </xf>
  </cellXfs>
  <cellStyles count="12">
    <cellStyle name="Lien hypertexte" xfId="11" builtinId="8"/>
    <cellStyle name="Milliers" xfId="1" builtinId="3"/>
    <cellStyle name="Milliers 2" xfId="5" xr:uid="{71FE29BD-3695-44E8-B83B-1D7C490D6AFA}"/>
    <cellStyle name="Milliers 385" xfId="8" xr:uid="{4383715B-9DA8-4407-9F66-1B223445E276}"/>
    <cellStyle name="Normal" xfId="0" builtinId="0"/>
    <cellStyle name="Normal 11" xfId="10" xr:uid="{4E577FF9-6DA6-4056-B77A-93A96983BDFC}"/>
    <cellStyle name="Normal 2" xfId="4" xr:uid="{F7778100-2660-4DE1-BA4A-0DD5FA915AC4}"/>
    <cellStyle name="Normal 2 10 2 2" xfId="9" xr:uid="{9779103D-F2A9-4AF1-B8FA-CD6622080F0B}"/>
    <cellStyle name="Normal 2 2 11" xfId="7" xr:uid="{142FD868-C173-40B7-9BF4-48DAE5C042F4}"/>
    <cellStyle name="Normal 2 5" xfId="6" xr:uid="{C0D710BF-D4FD-4DC0-A076-70859335CF0C}"/>
    <cellStyle name="Normal 5" xfId="3" xr:uid="{0DCCE2A6-A2FB-44EA-8D52-75E4EC42F5DF}"/>
    <cellStyle name="Pourcentage" xfId="2" builtinId="5"/>
  </cellStyles>
  <dxfs count="0"/>
  <tableStyles count="0" defaultTableStyle="TableStyleMedium2" defaultPivotStyle="PivotStyleLight16"/>
  <colors>
    <mruColors>
      <color rgb="FF657C91"/>
      <color rgb="FF218F8B"/>
      <color rgb="FFA4E7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9" Type="http://schemas.openxmlformats.org/officeDocument/2006/relationships/theme" Target="theme/theme1.xml" /><Relationship Id="rId3" Type="http://schemas.openxmlformats.org/officeDocument/2006/relationships/worksheet" Target="worksheets/sheet3.xml" /><Relationship Id="rId21" Type="http://schemas.openxmlformats.org/officeDocument/2006/relationships/worksheet" Target="worksheets/sheet21.xml" /><Relationship Id="rId34" Type="http://schemas.openxmlformats.org/officeDocument/2006/relationships/worksheet" Target="worksheets/sheet34.xml" /><Relationship Id="rId42" Type="http://schemas.openxmlformats.org/officeDocument/2006/relationships/calcChain" Target="calcChain.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worksheet" Target="worksheets/sheet33.xml" /><Relationship Id="rId38" Type="http://schemas.openxmlformats.org/officeDocument/2006/relationships/externalLink" Target="externalLinks/externalLink2.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41" Type="http://schemas.openxmlformats.org/officeDocument/2006/relationships/sharedStrings" Target="sharedString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worksheet" Target="worksheets/sheet32.xml" /><Relationship Id="rId37" Type="http://schemas.openxmlformats.org/officeDocument/2006/relationships/externalLink" Target="externalLinks/externalLink1.xml" /><Relationship Id="rId40" Type="http://schemas.openxmlformats.org/officeDocument/2006/relationships/styles" Target="styles.xml" /><Relationship Id="rId45" Type="http://schemas.openxmlformats.org/officeDocument/2006/relationships/customXml" Target="../customXml/item3.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36" Type="http://schemas.openxmlformats.org/officeDocument/2006/relationships/worksheet" Target="worksheets/sheet36.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worksheet" Target="worksheets/sheet31.xml" /><Relationship Id="rId44" Type="http://schemas.openxmlformats.org/officeDocument/2006/relationships/customXml" Target="../customXml/item2.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35" Type="http://schemas.openxmlformats.org/officeDocument/2006/relationships/worksheet" Target="worksheets/sheet35.xml" /><Relationship Id="rId43" Type="http://schemas.openxmlformats.org/officeDocument/2006/relationships/customXml" Target="../customXml/item1.xml" /></Relationships>
</file>

<file path=xl/drawings/_rels/drawing3.xml.rels><?xml version="1.0" encoding="UTF-8" standalone="yes"?>
<Relationships xmlns="http://schemas.openxmlformats.org/package/2006/relationships"><Relationship Id="rId1" Type="http://schemas.openxmlformats.org/officeDocument/2006/relationships/image" Target="../media/image3.png" /></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 /></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 /></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 /></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449580</xdr:colOff>
          <xdr:row>4</xdr:row>
          <xdr:rowOff>99060</xdr:rowOff>
        </xdr:from>
        <xdr:to>
          <xdr:col>2</xdr:col>
          <xdr:colOff>601980</xdr:colOff>
          <xdr:row>8</xdr:row>
          <xdr:rowOff>22860</xdr:rowOff>
        </xdr:to>
        <xdr:sp macro="" textlink="">
          <xdr:nvSpPr>
            <xdr:cNvPr id="31745" name="Object 1" hidden="1">
              <a:extLst>
                <a:ext uri="{63B3BB69-23CF-44E3-9099-C40C66FF867C}">
                  <a14:compatExt spid="_x0000_s31745"/>
                </a:ext>
                <a:ext uri="{FF2B5EF4-FFF2-40B4-BE49-F238E27FC236}">
                  <a16:creationId xmlns:a16="http://schemas.microsoft.com/office/drawing/2014/main" id="{00000000-0008-0000-1B00-0000017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2</xdr:row>
          <xdr:rowOff>60960</xdr:rowOff>
        </xdr:from>
        <xdr:to>
          <xdr:col>8</xdr:col>
          <xdr:colOff>533400</xdr:colOff>
          <xdr:row>41</xdr:row>
          <xdr:rowOff>175260</xdr:rowOff>
        </xdr:to>
        <xdr:sp macro="" textlink="">
          <xdr:nvSpPr>
            <xdr:cNvPr id="32769" name="Object 1" hidden="1">
              <a:extLst>
                <a:ext uri="{63B3BB69-23CF-44E3-9099-C40C66FF867C}">
                  <a14:compatExt spid="_x0000_s33793"/>
                </a:ext>
                <a:ext uri="{FF2B5EF4-FFF2-40B4-BE49-F238E27FC236}">
                  <a16:creationId xmlns:a16="http://schemas.microsoft.com/office/drawing/2014/main" id="{00000000-0008-0000-1F00-0000018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218381</xdr:colOff>
      <xdr:row>31</xdr:row>
      <xdr:rowOff>170762</xdr:rowOff>
    </xdr:to>
    <xdr:pic>
      <xdr:nvPicPr>
        <xdr:cNvPr id="2" name="Image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762000" y="590550"/>
          <a:ext cx="5552381" cy="5504762"/>
        </a:xfrm>
        <a:prstGeom prst="rect">
          <a:avLst/>
        </a:prstGeom>
      </xdr:spPr>
    </xdr:pic>
    <xdr:clientData/>
  </xdr:twoCellAnchor>
  <xdr:twoCellAnchor editAs="oneCell">
    <xdr:from>
      <xdr:col>9</xdr:col>
      <xdr:colOff>114300</xdr:colOff>
      <xdr:row>2</xdr:row>
      <xdr:rowOff>152400</xdr:rowOff>
    </xdr:from>
    <xdr:to>
      <xdr:col>16</xdr:col>
      <xdr:colOff>332681</xdr:colOff>
      <xdr:row>31</xdr:row>
      <xdr:rowOff>132662</xdr:rowOff>
    </xdr:to>
    <xdr:pic>
      <xdr:nvPicPr>
        <xdr:cNvPr id="3" name="Image 2">
          <a:extLst>
            <a:ext uri="{FF2B5EF4-FFF2-40B4-BE49-F238E27FC236}">
              <a16:creationId xmlns:a16="http://schemas.microsoft.com/office/drawing/2014/main" id="{00000000-0008-0000-2000-000003000000}"/>
            </a:ext>
          </a:extLst>
        </xdr:cNvPr>
        <xdr:cNvPicPr>
          <a:picLocks noChangeAspect="1"/>
        </xdr:cNvPicPr>
      </xdr:nvPicPr>
      <xdr:blipFill>
        <a:blip xmlns:r="http://schemas.openxmlformats.org/officeDocument/2006/relationships" r:embed="rId1"/>
        <a:stretch>
          <a:fillRect/>
        </a:stretch>
      </xdr:blipFill>
      <xdr:spPr>
        <a:xfrm>
          <a:off x="6972300" y="552450"/>
          <a:ext cx="5552381" cy="55047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750796</xdr:colOff>
      <xdr:row>2</xdr:row>
      <xdr:rowOff>179293</xdr:rowOff>
    </xdr:from>
    <xdr:to>
      <xdr:col>13</xdr:col>
      <xdr:colOff>1975</xdr:colOff>
      <xdr:row>4</xdr:row>
      <xdr:rowOff>56029</xdr:rowOff>
    </xdr:to>
    <xdr:sp macro="" textlink="">
      <xdr:nvSpPr>
        <xdr:cNvPr id="2" name="ZoneTexte 3">
          <a:extLst>
            <a:ext uri="{FF2B5EF4-FFF2-40B4-BE49-F238E27FC236}">
              <a16:creationId xmlns:a16="http://schemas.microsoft.com/office/drawing/2014/main" id="{00000000-0008-0000-2200-000002000000}"/>
            </a:ext>
          </a:extLst>
        </xdr:cNvPr>
        <xdr:cNvSpPr txBox="1"/>
      </xdr:nvSpPr>
      <xdr:spPr>
        <a:xfrm>
          <a:off x="750796" y="573900"/>
          <a:ext cx="16056000" cy="257736"/>
        </a:xfrm>
        <a:prstGeom prst="rect">
          <a:avLst/>
        </a:prstGeom>
        <a:solidFill>
          <a:schemeClr val="bg2">
            <a:lumMod val="75000"/>
          </a:schemeClr>
        </a:solidFill>
      </xdr:spPr>
      <xdr:txBody>
        <a:bodyPr wrap="square">
          <a:spAutoFit/>
        </a:bodyPr>
        <a:lstStyle>
          <a:defPPr>
            <a:defRPr lang="en-GB"/>
          </a:defPPr>
          <a:lvl1pPr algn="ctr" rtl="0" fontAlgn="base">
            <a:spcBef>
              <a:spcPct val="0"/>
            </a:spcBef>
            <a:spcAft>
              <a:spcPct val="0"/>
            </a:spcAft>
            <a:defRPr sz="800" kern="1200">
              <a:solidFill>
                <a:schemeClr val="tx1"/>
              </a:solidFill>
              <a:latin typeface="Trebuchet MS" pitchFamily="34" charset="0"/>
              <a:ea typeface="+mn-ea"/>
              <a:cs typeface="+mn-cs"/>
            </a:defRPr>
          </a:lvl1pPr>
          <a:lvl2pPr marL="400736" algn="ctr" rtl="0" fontAlgn="base">
            <a:spcBef>
              <a:spcPct val="0"/>
            </a:spcBef>
            <a:spcAft>
              <a:spcPct val="0"/>
            </a:spcAft>
            <a:defRPr sz="800" kern="1200">
              <a:solidFill>
                <a:schemeClr val="tx1"/>
              </a:solidFill>
              <a:latin typeface="Trebuchet MS" pitchFamily="34" charset="0"/>
              <a:ea typeface="+mn-ea"/>
              <a:cs typeface="+mn-cs"/>
            </a:defRPr>
          </a:lvl2pPr>
          <a:lvl3pPr marL="801472" algn="ctr" rtl="0" fontAlgn="base">
            <a:spcBef>
              <a:spcPct val="0"/>
            </a:spcBef>
            <a:spcAft>
              <a:spcPct val="0"/>
            </a:spcAft>
            <a:defRPr sz="800" kern="1200">
              <a:solidFill>
                <a:schemeClr val="tx1"/>
              </a:solidFill>
              <a:latin typeface="Trebuchet MS" pitchFamily="34" charset="0"/>
              <a:ea typeface="+mn-ea"/>
              <a:cs typeface="+mn-cs"/>
            </a:defRPr>
          </a:lvl3pPr>
          <a:lvl4pPr marL="1202207" algn="ctr" rtl="0" fontAlgn="base">
            <a:spcBef>
              <a:spcPct val="0"/>
            </a:spcBef>
            <a:spcAft>
              <a:spcPct val="0"/>
            </a:spcAft>
            <a:defRPr sz="800" kern="1200">
              <a:solidFill>
                <a:schemeClr val="tx1"/>
              </a:solidFill>
              <a:latin typeface="Trebuchet MS" pitchFamily="34" charset="0"/>
              <a:ea typeface="+mn-ea"/>
              <a:cs typeface="+mn-cs"/>
            </a:defRPr>
          </a:lvl4pPr>
          <a:lvl5pPr marL="1602943" algn="ctr" rtl="0" fontAlgn="base">
            <a:spcBef>
              <a:spcPct val="0"/>
            </a:spcBef>
            <a:spcAft>
              <a:spcPct val="0"/>
            </a:spcAft>
            <a:defRPr sz="800" kern="1200">
              <a:solidFill>
                <a:schemeClr val="tx1"/>
              </a:solidFill>
              <a:latin typeface="Trebuchet MS" pitchFamily="34" charset="0"/>
              <a:ea typeface="+mn-ea"/>
              <a:cs typeface="+mn-cs"/>
            </a:defRPr>
          </a:lvl5pPr>
          <a:lvl6pPr marL="2003679" algn="l" defTabSz="801472" rtl="0" eaLnBrk="1" latinLnBrk="0" hangingPunct="1">
            <a:defRPr sz="800" kern="1200">
              <a:solidFill>
                <a:schemeClr val="tx1"/>
              </a:solidFill>
              <a:latin typeface="Trebuchet MS" pitchFamily="34" charset="0"/>
              <a:ea typeface="+mn-ea"/>
              <a:cs typeface="+mn-cs"/>
            </a:defRPr>
          </a:lvl6pPr>
          <a:lvl7pPr marL="2404415" algn="l" defTabSz="801472" rtl="0" eaLnBrk="1" latinLnBrk="0" hangingPunct="1">
            <a:defRPr sz="800" kern="1200">
              <a:solidFill>
                <a:schemeClr val="tx1"/>
              </a:solidFill>
              <a:latin typeface="Trebuchet MS" pitchFamily="34" charset="0"/>
              <a:ea typeface="+mn-ea"/>
              <a:cs typeface="+mn-cs"/>
            </a:defRPr>
          </a:lvl7pPr>
          <a:lvl8pPr marL="2805151" algn="l" defTabSz="801472" rtl="0" eaLnBrk="1" latinLnBrk="0" hangingPunct="1">
            <a:defRPr sz="800" kern="1200">
              <a:solidFill>
                <a:schemeClr val="tx1"/>
              </a:solidFill>
              <a:latin typeface="Trebuchet MS" pitchFamily="34" charset="0"/>
              <a:ea typeface="+mn-ea"/>
              <a:cs typeface="+mn-cs"/>
            </a:defRPr>
          </a:lvl8pPr>
          <a:lvl9pPr marL="3205886" algn="l" defTabSz="801472" rtl="0" eaLnBrk="1" latinLnBrk="0" hangingPunct="1">
            <a:defRPr sz="800" kern="1200">
              <a:solidFill>
                <a:schemeClr val="tx1"/>
              </a:solidFill>
              <a:latin typeface="Trebuchet MS" pitchFamily="34" charset="0"/>
              <a:ea typeface="+mn-ea"/>
              <a:cs typeface="+mn-cs"/>
            </a:defRPr>
          </a:lvl9pPr>
        </a:lstStyle>
        <a:p>
          <a:pPr algn="just">
            <a:spcBef>
              <a:spcPts val="600"/>
            </a:spcBef>
          </a:pPr>
          <a:r>
            <a:rPr lang="fr-FR" sz="1100" b="1">
              <a:solidFill>
                <a:schemeClr val="tx1">
                  <a:lumMod val="50000"/>
                </a:schemeClr>
              </a:solidFill>
              <a:effectLst/>
              <a:latin typeface="Trebuchet MS" panose="020B0603020202020204" pitchFamily="34" charset="0"/>
              <a:ea typeface="Times New Roman" panose="02020603050405020304" pitchFamily="18" charset="0"/>
              <a:cs typeface="Kohinoor Devanagari" panose="02000000000000000000" pitchFamily="50" charset="0"/>
            </a:rPr>
            <a:t>Evaluation du Risque d’exhaustivité des données : </a:t>
          </a:r>
          <a:endParaRPr lang="fr-FR" sz="1100" b="1">
            <a:solidFill>
              <a:schemeClr val="tx1">
                <a:lumMod val="50000"/>
              </a:schemeClr>
            </a:solidFill>
          </a:endParaRPr>
        </a:p>
      </xdr:txBody>
    </xdr:sp>
    <xdr:clientData/>
  </xdr:twoCellAnchor>
  <xdr:twoCellAnchor>
    <xdr:from>
      <xdr:col>0</xdr:col>
      <xdr:colOff>739588</xdr:colOff>
      <xdr:row>4</xdr:row>
      <xdr:rowOff>78441</xdr:rowOff>
    </xdr:from>
    <xdr:to>
      <xdr:col>4</xdr:col>
      <xdr:colOff>33618</xdr:colOff>
      <xdr:row>6</xdr:row>
      <xdr:rowOff>87548</xdr:rowOff>
    </xdr:to>
    <xdr:sp macro="" textlink="">
      <xdr:nvSpPr>
        <xdr:cNvPr id="3" name="ZoneTexte 2">
          <a:extLst>
            <a:ext uri="{FF2B5EF4-FFF2-40B4-BE49-F238E27FC236}">
              <a16:creationId xmlns:a16="http://schemas.microsoft.com/office/drawing/2014/main" id="{00000000-0008-0000-2200-000003000000}"/>
            </a:ext>
          </a:extLst>
        </xdr:cNvPr>
        <xdr:cNvSpPr txBox="1"/>
      </xdr:nvSpPr>
      <xdr:spPr>
        <a:xfrm>
          <a:off x="739588" y="854048"/>
          <a:ext cx="4410316" cy="390107"/>
        </a:xfrm>
        <a:prstGeom prst="rect">
          <a:avLst/>
        </a:prstGeom>
        <a:noFill/>
      </xdr:spPr>
      <xdr:txBody>
        <a:bodyPr wrap="square">
          <a:spAutoFit/>
        </a:bodyPr>
        <a:lstStyle>
          <a:defPPr>
            <a:defRPr lang="en-GB"/>
          </a:defPPr>
          <a:lvl1pPr algn="ctr" rtl="0" fontAlgn="base">
            <a:spcBef>
              <a:spcPct val="0"/>
            </a:spcBef>
            <a:spcAft>
              <a:spcPct val="0"/>
            </a:spcAft>
            <a:defRPr sz="800" kern="1200">
              <a:solidFill>
                <a:schemeClr val="tx1"/>
              </a:solidFill>
              <a:latin typeface="Trebuchet MS" pitchFamily="34" charset="0"/>
              <a:ea typeface="+mn-ea"/>
              <a:cs typeface="+mn-cs"/>
            </a:defRPr>
          </a:lvl1pPr>
          <a:lvl2pPr marL="400736" algn="ctr" rtl="0" fontAlgn="base">
            <a:spcBef>
              <a:spcPct val="0"/>
            </a:spcBef>
            <a:spcAft>
              <a:spcPct val="0"/>
            </a:spcAft>
            <a:defRPr sz="800" kern="1200">
              <a:solidFill>
                <a:schemeClr val="tx1"/>
              </a:solidFill>
              <a:latin typeface="Trebuchet MS" pitchFamily="34" charset="0"/>
              <a:ea typeface="+mn-ea"/>
              <a:cs typeface="+mn-cs"/>
            </a:defRPr>
          </a:lvl2pPr>
          <a:lvl3pPr marL="801472" algn="ctr" rtl="0" fontAlgn="base">
            <a:spcBef>
              <a:spcPct val="0"/>
            </a:spcBef>
            <a:spcAft>
              <a:spcPct val="0"/>
            </a:spcAft>
            <a:defRPr sz="800" kern="1200">
              <a:solidFill>
                <a:schemeClr val="tx1"/>
              </a:solidFill>
              <a:latin typeface="Trebuchet MS" pitchFamily="34" charset="0"/>
              <a:ea typeface="+mn-ea"/>
              <a:cs typeface="+mn-cs"/>
            </a:defRPr>
          </a:lvl3pPr>
          <a:lvl4pPr marL="1202207" algn="ctr" rtl="0" fontAlgn="base">
            <a:spcBef>
              <a:spcPct val="0"/>
            </a:spcBef>
            <a:spcAft>
              <a:spcPct val="0"/>
            </a:spcAft>
            <a:defRPr sz="800" kern="1200">
              <a:solidFill>
                <a:schemeClr val="tx1"/>
              </a:solidFill>
              <a:latin typeface="Trebuchet MS" pitchFamily="34" charset="0"/>
              <a:ea typeface="+mn-ea"/>
              <a:cs typeface="+mn-cs"/>
            </a:defRPr>
          </a:lvl4pPr>
          <a:lvl5pPr marL="1602943" algn="ctr" rtl="0" fontAlgn="base">
            <a:spcBef>
              <a:spcPct val="0"/>
            </a:spcBef>
            <a:spcAft>
              <a:spcPct val="0"/>
            </a:spcAft>
            <a:defRPr sz="800" kern="1200">
              <a:solidFill>
                <a:schemeClr val="tx1"/>
              </a:solidFill>
              <a:latin typeface="Trebuchet MS" pitchFamily="34" charset="0"/>
              <a:ea typeface="+mn-ea"/>
              <a:cs typeface="+mn-cs"/>
            </a:defRPr>
          </a:lvl5pPr>
          <a:lvl6pPr marL="2003679" algn="l" defTabSz="801472" rtl="0" eaLnBrk="1" latinLnBrk="0" hangingPunct="1">
            <a:defRPr sz="800" kern="1200">
              <a:solidFill>
                <a:schemeClr val="tx1"/>
              </a:solidFill>
              <a:latin typeface="Trebuchet MS" pitchFamily="34" charset="0"/>
              <a:ea typeface="+mn-ea"/>
              <a:cs typeface="+mn-cs"/>
            </a:defRPr>
          </a:lvl6pPr>
          <a:lvl7pPr marL="2404415" algn="l" defTabSz="801472" rtl="0" eaLnBrk="1" latinLnBrk="0" hangingPunct="1">
            <a:defRPr sz="800" kern="1200">
              <a:solidFill>
                <a:schemeClr val="tx1"/>
              </a:solidFill>
              <a:latin typeface="Trebuchet MS" pitchFamily="34" charset="0"/>
              <a:ea typeface="+mn-ea"/>
              <a:cs typeface="+mn-cs"/>
            </a:defRPr>
          </a:lvl7pPr>
          <a:lvl8pPr marL="2805151" algn="l" defTabSz="801472" rtl="0" eaLnBrk="1" latinLnBrk="0" hangingPunct="1">
            <a:defRPr sz="800" kern="1200">
              <a:solidFill>
                <a:schemeClr val="tx1"/>
              </a:solidFill>
              <a:latin typeface="Trebuchet MS" pitchFamily="34" charset="0"/>
              <a:ea typeface="+mn-ea"/>
              <a:cs typeface="+mn-cs"/>
            </a:defRPr>
          </a:lvl8pPr>
          <a:lvl9pPr marL="3205886" algn="l" defTabSz="801472" rtl="0" eaLnBrk="1" latinLnBrk="0" hangingPunct="1">
            <a:defRPr sz="800" kern="1200">
              <a:solidFill>
                <a:schemeClr val="tx1"/>
              </a:solidFill>
              <a:latin typeface="Trebuchet MS" pitchFamily="34" charset="0"/>
              <a:ea typeface="+mn-ea"/>
              <a:cs typeface="+mn-cs"/>
            </a:defRPr>
          </a:lvl9pPr>
        </a:lstStyle>
        <a:p>
          <a:pPr algn="l"/>
          <a:r>
            <a:rPr lang="fr-FR" sz="1000" b="0">
              <a:solidFill>
                <a:schemeClr val="bg2">
                  <a:lumMod val="25000"/>
                </a:schemeClr>
              </a:solidFill>
              <a:latin typeface="Trebuchet MS" panose="020B0603020202020204" pitchFamily="34" charset="0"/>
            </a:rPr>
            <a:t>1. Niveau de centralisation des données reportées au niveau de l’entité publique</a:t>
          </a:r>
        </a:p>
      </xdr:txBody>
    </xdr:sp>
    <xdr:clientData/>
  </xdr:twoCellAnchor>
  <xdr:twoCellAnchor>
    <xdr:from>
      <xdr:col>4</xdr:col>
      <xdr:colOff>616324</xdr:colOff>
      <xdr:row>4</xdr:row>
      <xdr:rowOff>67235</xdr:rowOff>
    </xdr:from>
    <xdr:to>
      <xdr:col>13</xdr:col>
      <xdr:colOff>414618</xdr:colOff>
      <xdr:row>5</xdr:row>
      <xdr:rowOff>117955</xdr:rowOff>
    </xdr:to>
    <xdr:sp macro="" textlink="">
      <xdr:nvSpPr>
        <xdr:cNvPr id="4" name="ZoneTexte 2">
          <a:extLst>
            <a:ext uri="{FF2B5EF4-FFF2-40B4-BE49-F238E27FC236}">
              <a16:creationId xmlns:a16="http://schemas.microsoft.com/office/drawing/2014/main" id="{00000000-0008-0000-2200-000004000000}"/>
            </a:ext>
          </a:extLst>
        </xdr:cNvPr>
        <xdr:cNvSpPr txBox="1"/>
      </xdr:nvSpPr>
      <xdr:spPr>
        <a:xfrm>
          <a:off x="8372395" y="842842"/>
          <a:ext cx="8574902" cy="241220"/>
        </a:xfrm>
        <a:prstGeom prst="rect">
          <a:avLst/>
        </a:prstGeom>
        <a:noFill/>
      </xdr:spPr>
      <xdr:txBody>
        <a:bodyPr wrap="square">
          <a:spAutoFit/>
        </a:bodyPr>
        <a:lstStyle>
          <a:defPPr>
            <a:defRPr lang="en-GB"/>
          </a:defPPr>
          <a:lvl1pPr algn="ctr" rtl="0" fontAlgn="base">
            <a:spcBef>
              <a:spcPct val="0"/>
            </a:spcBef>
            <a:spcAft>
              <a:spcPct val="0"/>
            </a:spcAft>
            <a:defRPr sz="800" kern="1200">
              <a:solidFill>
                <a:schemeClr val="tx1"/>
              </a:solidFill>
              <a:latin typeface="Trebuchet MS" pitchFamily="34" charset="0"/>
              <a:ea typeface="+mn-ea"/>
              <a:cs typeface="+mn-cs"/>
            </a:defRPr>
          </a:lvl1pPr>
          <a:lvl2pPr marL="400736" algn="ctr" rtl="0" fontAlgn="base">
            <a:spcBef>
              <a:spcPct val="0"/>
            </a:spcBef>
            <a:spcAft>
              <a:spcPct val="0"/>
            </a:spcAft>
            <a:defRPr sz="800" kern="1200">
              <a:solidFill>
                <a:schemeClr val="tx1"/>
              </a:solidFill>
              <a:latin typeface="Trebuchet MS" pitchFamily="34" charset="0"/>
              <a:ea typeface="+mn-ea"/>
              <a:cs typeface="+mn-cs"/>
            </a:defRPr>
          </a:lvl2pPr>
          <a:lvl3pPr marL="801472" algn="ctr" rtl="0" fontAlgn="base">
            <a:spcBef>
              <a:spcPct val="0"/>
            </a:spcBef>
            <a:spcAft>
              <a:spcPct val="0"/>
            </a:spcAft>
            <a:defRPr sz="800" kern="1200">
              <a:solidFill>
                <a:schemeClr val="tx1"/>
              </a:solidFill>
              <a:latin typeface="Trebuchet MS" pitchFamily="34" charset="0"/>
              <a:ea typeface="+mn-ea"/>
              <a:cs typeface="+mn-cs"/>
            </a:defRPr>
          </a:lvl3pPr>
          <a:lvl4pPr marL="1202207" algn="ctr" rtl="0" fontAlgn="base">
            <a:spcBef>
              <a:spcPct val="0"/>
            </a:spcBef>
            <a:spcAft>
              <a:spcPct val="0"/>
            </a:spcAft>
            <a:defRPr sz="800" kern="1200">
              <a:solidFill>
                <a:schemeClr val="tx1"/>
              </a:solidFill>
              <a:latin typeface="Trebuchet MS" pitchFamily="34" charset="0"/>
              <a:ea typeface="+mn-ea"/>
              <a:cs typeface="+mn-cs"/>
            </a:defRPr>
          </a:lvl4pPr>
          <a:lvl5pPr marL="1602943" algn="ctr" rtl="0" fontAlgn="base">
            <a:spcBef>
              <a:spcPct val="0"/>
            </a:spcBef>
            <a:spcAft>
              <a:spcPct val="0"/>
            </a:spcAft>
            <a:defRPr sz="800" kern="1200">
              <a:solidFill>
                <a:schemeClr val="tx1"/>
              </a:solidFill>
              <a:latin typeface="Trebuchet MS" pitchFamily="34" charset="0"/>
              <a:ea typeface="+mn-ea"/>
              <a:cs typeface="+mn-cs"/>
            </a:defRPr>
          </a:lvl5pPr>
          <a:lvl6pPr marL="2003679" algn="l" defTabSz="801472" rtl="0" eaLnBrk="1" latinLnBrk="0" hangingPunct="1">
            <a:defRPr sz="800" kern="1200">
              <a:solidFill>
                <a:schemeClr val="tx1"/>
              </a:solidFill>
              <a:latin typeface="Trebuchet MS" pitchFamily="34" charset="0"/>
              <a:ea typeface="+mn-ea"/>
              <a:cs typeface="+mn-cs"/>
            </a:defRPr>
          </a:lvl6pPr>
          <a:lvl7pPr marL="2404415" algn="l" defTabSz="801472" rtl="0" eaLnBrk="1" latinLnBrk="0" hangingPunct="1">
            <a:defRPr sz="800" kern="1200">
              <a:solidFill>
                <a:schemeClr val="tx1"/>
              </a:solidFill>
              <a:latin typeface="Trebuchet MS" pitchFamily="34" charset="0"/>
              <a:ea typeface="+mn-ea"/>
              <a:cs typeface="+mn-cs"/>
            </a:defRPr>
          </a:lvl7pPr>
          <a:lvl8pPr marL="2805151" algn="l" defTabSz="801472" rtl="0" eaLnBrk="1" latinLnBrk="0" hangingPunct="1">
            <a:defRPr sz="800" kern="1200">
              <a:solidFill>
                <a:schemeClr val="tx1"/>
              </a:solidFill>
              <a:latin typeface="Trebuchet MS" pitchFamily="34" charset="0"/>
              <a:ea typeface="+mn-ea"/>
              <a:cs typeface="+mn-cs"/>
            </a:defRPr>
          </a:lvl8pPr>
          <a:lvl9pPr marL="3205886" algn="l" defTabSz="801472" rtl="0" eaLnBrk="1" latinLnBrk="0" hangingPunct="1">
            <a:defRPr sz="800" kern="1200">
              <a:solidFill>
                <a:schemeClr val="tx1"/>
              </a:solidFill>
              <a:latin typeface="Trebuchet MS" pitchFamily="34" charset="0"/>
              <a:ea typeface="+mn-ea"/>
              <a:cs typeface="+mn-cs"/>
            </a:defRPr>
          </a:lvl9pPr>
        </a:lstStyle>
        <a:p>
          <a:pPr algn="l"/>
          <a:r>
            <a:rPr lang="fr-FR" sz="1000" b="0">
              <a:solidFill>
                <a:schemeClr val="bg2">
                  <a:lumMod val="25000"/>
                </a:schemeClr>
              </a:solidFill>
              <a:latin typeface="Trebuchet MS" panose="020B0603020202020204" pitchFamily="34" charset="0"/>
            </a:rPr>
            <a:t>2. Le niveau d’ajustement des déclarations initiales de l’entité publique</a:t>
          </a:r>
        </a:p>
      </xdr:txBody>
    </xdr:sp>
    <xdr:clientData/>
  </xdr:twoCellAnchor>
  <xdr:twoCellAnchor>
    <xdr:from>
      <xdr:col>0</xdr:col>
      <xdr:colOff>693963</xdr:colOff>
      <xdr:row>23</xdr:row>
      <xdr:rowOff>54428</xdr:rowOff>
    </xdr:from>
    <xdr:to>
      <xdr:col>7</xdr:col>
      <xdr:colOff>54427</xdr:colOff>
      <xdr:row>24</xdr:row>
      <xdr:rowOff>105148</xdr:rowOff>
    </xdr:to>
    <xdr:sp macro="" textlink="">
      <xdr:nvSpPr>
        <xdr:cNvPr id="5" name="ZoneTexte 2">
          <a:extLst>
            <a:ext uri="{FF2B5EF4-FFF2-40B4-BE49-F238E27FC236}">
              <a16:creationId xmlns:a16="http://schemas.microsoft.com/office/drawing/2014/main" id="{00000000-0008-0000-2200-000005000000}"/>
            </a:ext>
          </a:extLst>
        </xdr:cNvPr>
        <xdr:cNvSpPr txBox="1"/>
      </xdr:nvSpPr>
      <xdr:spPr>
        <a:xfrm>
          <a:off x="693963" y="4844142"/>
          <a:ext cx="7415893" cy="241220"/>
        </a:xfrm>
        <a:prstGeom prst="rect">
          <a:avLst/>
        </a:prstGeom>
        <a:noFill/>
      </xdr:spPr>
      <xdr:txBody>
        <a:bodyPr wrap="square">
          <a:spAutoFit/>
        </a:bodyPr>
        <a:lstStyle>
          <a:defPPr>
            <a:defRPr lang="en-GB"/>
          </a:defPPr>
          <a:lvl1pPr algn="ctr" rtl="0" fontAlgn="base">
            <a:spcBef>
              <a:spcPct val="0"/>
            </a:spcBef>
            <a:spcAft>
              <a:spcPct val="0"/>
            </a:spcAft>
            <a:defRPr sz="800" kern="1200">
              <a:solidFill>
                <a:schemeClr val="tx1"/>
              </a:solidFill>
              <a:latin typeface="Trebuchet MS" pitchFamily="34" charset="0"/>
              <a:ea typeface="+mn-ea"/>
              <a:cs typeface="+mn-cs"/>
            </a:defRPr>
          </a:lvl1pPr>
          <a:lvl2pPr marL="400736" algn="ctr" rtl="0" fontAlgn="base">
            <a:spcBef>
              <a:spcPct val="0"/>
            </a:spcBef>
            <a:spcAft>
              <a:spcPct val="0"/>
            </a:spcAft>
            <a:defRPr sz="800" kern="1200">
              <a:solidFill>
                <a:schemeClr val="tx1"/>
              </a:solidFill>
              <a:latin typeface="Trebuchet MS" pitchFamily="34" charset="0"/>
              <a:ea typeface="+mn-ea"/>
              <a:cs typeface="+mn-cs"/>
            </a:defRPr>
          </a:lvl2pPr>
          <a:lvl3pPr marL="801472" algn="ctr" rtl="0" fontAlgn="base">
            <a:spcBef>
              <a:spcPct val="0"/>
            </a:spcBef>
            <a:spcAft>
              <a:spcPct val="0"/>
            </a:spcAft>
            <a:defRPr sz="800" kern="1200">
              <a:solidFill>
                <a:schemeClr val="tx1"/>
              </a:solidFill>
              <a:latin typeface="Trebuchet MS" pitchFamily="34" charset="0"/>
              <a:ea typeface="+mn-ea"/>
              <a:cs typeface="+mn-cs"/>
            </a:defRPr>
          </a:lvl3pPr>
          <a:lvl4pPr marL="1202207" algn="ctr" rtl="0" fontAlgn="base">
            <a:spcBef>
              <a:spcPct val="0"/>
            </a:spcBef>
            <a:spcAft>
              <a:spcPct val="0"/>
            </a:spcAft>
            <a:defRPr sz="800" kern="1200">
              <a:solidFill>
                <a:schemeClr val="tx1"/>
              </a:solidFill>
              <a:latin typeface="Trebuchet MS" pitchFamily="34" charset="0"/>
              <a:ea typeface="+mn-ea"/>
              <a:cs typeface="+mn-cs"/>
            </a:defRPr>
          </a:lvl4pPr>
          <a:lvl5pPr marL="1602943" algn="ctr" rtl="0" fontAlgn="base">
            <a:spcBef>
              <a:spcPct val="0"/>
            </a:spcBef>
            <a:spcAft>
              <a:spcPct val="0"/>
            </a:spcAft>
            <a:defRPr sz="800" kern="1200">
              <a:solidFill>
                <a:schemeClr val="tx1"/>
              </a:solidFill>
              <a:latin typeface="Trebuchet MS" pitchFamily="34" charset="0"/>
              <a:ea typeface="+mn-ea"/>
              <a:cs typeface="+mn-cs"/>
            </a:defRPr>
          </a:lvl5pPr>
          <a:lvl6pPr marL="2003679" algn="l" defTabSz="801472" rtl="0" eaLnBrk="1" latinLnBrk="0" hangingPunct="1">
            <a:defRPr sz="800" kern="1200">
              <a:solidFill>
                <a:schemeClr val="tx1"/>
              </a:solidFill>
              <a:latin typeface="Trebuchet MS" pitchFamily="34" charset="0"/>
              <a:ea typeface="+mn-ea"/>
              <a:cs typeface="+mn-cs"/>
            </a:defRPr>
          </a:lvl6pPr>
          <a:lvl7pPr marL="2404415" algn="l" defTabSz="801472" rtl="0" eaLnBrk="1" latinLnBrk="0" hangingPunct="1">
            <a:defRPr sz="800" kern="1200">
              <a:solidFill>
                <a:schemeClr val="tx1"/>
              </a:solidFill>
              <a:latin typeface="Trebuchet MS" pitchFamily="34" charset="0"/>
              <a:ea typeface="+mn-ea"/>
              <a:cs typeface="+mn-cs"/>
            </a:defRPr>
          </a:lvl7pPr>
          <a:lvl8pPr marL="2805151" algn="l" defTabSz="801472" rtl="0" eaLnBrk="1" latinLnBrk="0" hangingPunct="1">
            <a:defRPr sz="800" kern="1200">
              <a:solidFill>
                <a:schemeClr val="tx1"/>
              </a:solidFill>
              <a:latin typeface="Trebuchet MS" pitchFamily="34" charset="0"/>
              <a:ea typeface="+mn-ea"/>
              <a:cs typeface="+mn-cs"/>
            </a:defRPr>
          </a:lvl8pPr>
          <a:lvl9pPr marL="3205886" algn="l" defTabSz="801472" rtl="0" eaLnBrk="1" latinLnBrk="0" hangingPunct="1">
            <a:defRPr sz="800" kern="1200">
              <a:solidFill>
                <a:schemeClr val="tx1"/>
              </a:solidFill>
              <a:latin typeface="Trebuchet MS" pitchFamily="34" charset="0"/>
              <a:ea typeface="+mn-ea"/>
              <a:cs typeface="+mn-cs"/>
            </a:defRPr>
          </a:lvl9pPr>
        </a:lstStyle>
        <a:p>
          <a:pPr algn="l"/>
          <a:r>
            <a:rPr lang="fr-FR" sz="1000" b="0">
              <a:solidFill>
                <a:schemeClr val="bg2">
                  <a:lumMod val="25000"/>
                </a:schemeClr>
              </a:solidFill>
              <a:latin typeface="Trebuchet MS" panose="020B0603020202020204" pitchFamily="34" charset="0"/>
            </a:rPr>
            <a:t>3. Le niveau de l’écart résiduel non ajusté (dans le cas ou la déclaration des entreprises dépasse celle de l’entité publique) </a:t>
          </a:r>
        </a:p>
      </xdr:txBody>
    </xdr:sp>
    <xdr:clientData/>
  </xdr:twoCellAnchor>
  <xdr:twoCellAnchor>
    <xdr:from>
      <xdr:col>8</xdr:col>
      <xdr:colOff>312964</xdr:colOff>
      <xdr:row>23</xdr:row>
      <xdr:rowOff>13607</xdr:rowOff>
    </xdr:from>
    <xdr:to>
      <xdr:col>16</xdr:col>
      <xdr:colOff>476357</xdr:colOff>
      <xdr:row>24</xdr:row>
      <xdr:rowOff>64327</xdr:rowOff>
    </xdr:to>
    <xdr:sp macro="" textlink="">
      <xdr:nvSpPr>
        <xdr:cNvPr id="6" name="ZoneTexte 2">
          <a:extLst>
            <a:ext uri="{FF2B5EF4-FFF2-40B4-BE49-F238E27FC236}">
              <a16:creationId xmlns:a16="http://schemas.microsoft.com/office/drawing/2014/main" id="{00000000-0008-0000-2200-000006000000}"/>
            </a:ext>
          </a:extLst>
        </xdr:cNvPr>
        <xdr:cNvSpPr txBox="1"/>
      </xdr:nvSpPr>
      <xdr:spPr>
        <a:xfrm>
          <a:off x="10491107" y="4803321"/>
          <a:ext cx="7416000" cy="241220"/>
        </a:xfrm>
        <a:prstGeom prst="rect">
          <a:avLst/>
        </a:prstGeom>
        <a:noFill/>
      </xdr:spPr>
      <xdr:txBody>
        <a:bodyPr wrap="square">
          <a:spAutoFit/>
        </a:bodyPr>
        <a:lstStyle>
          <a:defPPr>
            <a:defRPr lang="en-GB"/>
          </a:defPPr>
          <a:lvl1pPr algn="ctr" rtl="0" fontAlgn="base">
            <a:spcBef>
              <a:spcPct val="0"/>
            </a:spcBef>
            <a:spcAft>
              <a:spcPct val="0"/>
            </a:spcAft>
            <a:defRPr sz="800" kern="1200">
              <a:solidFill>
                <a:schemeClr val="tx1"/>
              </a:solidFill>
              <a:latin typeface="Trebuchet MS" pitchFamily="34" charset="0"/>
              <a:ea typeface="+mn-ea"/>
              <a:cs typeface="+mn-cs"/>
            </a:defRPr>
          </a:lvl1pPr>
          <a:lvl2pPr marL="400736" algn="ctr" rtl="0" fontAlgn="base">
            <a:spcBef>
              <a:spcPct val="0"/>
            </a:spcBef>
            <a:spcAft>
              <a:spcPct val="0"/>
            </a:spcAft>
            <a:defRPr sz="800" kern="1200">
              <a:solidFill>
                <a:schemeClr val="tx1"/>
              </a:solidFill>
              <a:latin typeface="Trebuchet MS" pitchFamily="34" charset="0"/>
              <a:ea typeface="+mn-ea"/>
              <a:cs typeface="+mn-cs"/>
            </a:defRPr>
          </a:lvl2pPr>
          <a:lvl3pPr marL="801472" algn="ctr" rtl="0" fontAlgn="base">
            <a:spcBef>
              <a:spcPct val="0"/>
            </a:spcBef>
            <a:spcAft>
              <a:spcPct val="0"/>
            </a:spcAft>
            <a:defRPr sz="800" kern="1200">
              <a:solidFill>
                <a:schemeClr val="tx1"/>
              </a:solidFill>
              <a:latin typeface="Trebuchet MS" pitchFamily="34" charset="0"/>
              <a:ea typeface="+mn-ea"/>
              <a:cs typeface="+mn-cs"/>
            </a:defRPr>
          </a:lvl3pPr>
          <a:lvl4pPr marL="1202207" algn="ctr" rtl="0" fontAlgn="base">
            <a:spcBef>
              <a:spcPct val="0"/>
            </a:spcBef>
            <a:spcAft>
              <a:spcPct val="0"/>
            </a:spcAft>
            <a:defRPr sz="800" kern="1200">
              <a:solidFill>
                <a:schemeClr val="tx1"/>
              </a:solidFill>
              <a:latin typeface="Trebuchet MS" pitchFamily="34" charset="0"/>
              <a:ea typeface="+mn-ea"/>
              <a:cs typeface="+mn-cs"/>
            </a:defRPr>
          </a:lvl4pPr>
          <a:lvl5pPr marL="1602943" algn="ctr" rtl="0" fontAlgn="base">
            <a:spcBef>
              <a:spcPct val="0"/>
            </a:spcBef>
            <a:spcAft>
              <a:spcPct val="0"/>
            </a:spcAft>
            <a:defRPr sz="800" kern="1200">
              <a:solidFill>
                <a:schemeClr val="tx1"/>
              </a:solidFill>
              <a:latin typeface="Trebuchet MS" pitchFamily="34" charset="0"/>
              <a:ea typeface="+mn-ea"/>
              <a:cs typeface="+mn-cs"/>
            </a:defRPr>
          </a:lvl5pPr>
          <a:lvl6pPr marL="2003679" algn="l" defTabSz="801472" rtl="0" eaLnBrk="1" latinLnBrk="0" hangingPunct="1">
            <a:defRPr sz="800" kern="1200">
              <a:solidFill>
                <a:schemeClr val="tx1"/>
              </a:solidFill>
              <a:latin typeface="Trebuchet MS" pitchFamily="34" charset="0"/>
              <a:ea typeface="+mn-ea"/>
              <a:cs typeface="+mn-cs"/>
            </a:defRPr>
          </a:lvl6pPr>
          <a:lvl7pPr marL="2404415" algn="l" defTabSz="801472" rtl="0" eaLnBrk="1" latinLnBrk="0" hangingPunct="1">
            <a:defRPr sz="800" kern="1200">
              <a:solidFill>
                <a:schemeClr val="tx1"/>
              </a:solidFill>
              <a:latin typeface="Trebuchet MS" pitchFamily="34" charset="0"/>
              <a:ea typeface="+mn-ea"/>
              <a:cs typeface="+mn-cs"/>
            </a:defRPr>
          </a:lvl7pPr>
          <a:lvl8pPr marL="2805151" algn="l" defTabSz="801472" rtl="0" eaLnBrk="1" latinLnBrk="0" hangingPunct="1">
            <a:defRPr sz="800" kern="1200">
              <a:solidFill>
                <a:schemeClr val="tx1"/>
              </a:solidFill>
              <a:latin typeface="Trebuchet MS" pitchFamily="34" charset="0"/>
              <a:ea typeface="+mn-ea"/>
              <a:cs typeface="+mn-cs"/>
            </a:defRPr>
          </a:lvl8pPr>
          <a:lvl9pPr marL="3205886" algn="l" defTabSz="801472" rtl="0" eaLnBrk="1" latinLnBrk="0" hangingPunct="1">
            <a:defRPr sz="800" kern="1200">
              <a:solidFill>
                <a:schemeClr val="tx1"/>
              </a:solidFill>
              <a:latin typeface="Trebuchet MS" pitchFamily="34" charset="0"/>
              <a:ea typeface="+mn-ea"/>
              <a:cs typeface="+mn-cs"/>
            </a:defRPr>
          </a:lvl9pPr>
        </a:lstStyle>
        <a:p>
          <a:pPr algn="l"/>
          <a:r>
            <a:rPr lang="fr-FR" sz="1000" b="1">
              <a:solidFill>
                <a:schemeClr val="bg2">
                  <a:lumMod val="25000"/>
                </a:schemeClr>
              </a:solidFill>
              <a:latin typeface="Trebuchet MS" panose="020B0603020202020204" pitchFamily="34" charset="0"/>
            </a:rPr>
            <a:t>4. Niveau d’automatisation pour la génération des données par l’entité publique</a:t>
          </a:r>
          <a:endParaRPr lang="fr-FR" sz="1000" b="1" kern="1200">
            <a:solidFill>
              <a:schemeClr val="bg2">
                <a:lumMod val="25000"/>
              </a:schemeClr>
            </a:solidFill>
            <a:latin typeface="Trebuchet MS" panose="020B0603020202020204" pitchFamily="34" charset="0"/>
            <a:ea typeface="+mn-ea"/>
            <a:cs typeface="+mn-cs"/>
          </a:endParaRPr>
        </a:p>
      </xdr:txBody>
    </xdr:sp>
    <xdr:clientData/>
  </xdr:twoCellAnchor>
  <xdr:twoCellAnchor>
    <xdr:from>
      <xdr:col>1</xdr:col>
      <xdr:colOff>13608</xdr:colOff>
      <xdr:row>42</xdr:row>
      <xdr:rowOff>122464</xdr:rowOff>
    </xdr:from>
    <xdr:to>
      <xdr:col>7</xdr:col>
      <xdr:colOff>122465</xdr:colOff>
      <xdr:row>44</xdr:row>
      <xdr:rowOff>131571</xdr:rowOff>
    </xdr:to>
    <xdr:sp macro="" textlink="">
      <xdr:nvSpPr>
        <xdr:cNvPr id="7" name="ZoneTexte 2">
          <a:extLst>
            <a:ext uri="{FF2B5EF4-FFF2-40B4-BE49-F238E27FC236}">
              <a16:creationId xmlns:a16="http://schemas.microsoft.com/office/drawing/2014/main" id="{00000000-0008-0000-2200-000007000000}"/>
            </a:ext>
          </a:extLst>
        </xdr:cNvPr>
        <xdr:cNvSpPr txBox="1"/>
      </xdr:nvSpPr>
      <xdr:spPr>
        <a:xfrm>
          <a:off x="775608" y="9320893"/>
          <a:ext cx="8001000" cy="390107"/>
        </a:xfrm>
        <a:prstGeom prst="rect">
          <a:avLst/>
        </a:prstGeom>
        <a:noFill/>
      </xdr:spPr>
      <xdr:txBody>
        <a:bodyPr wrap="square">
          <a:spAutoFit/>
        </a:bodyPr>
        <a:lstStyle>
          <a:defPPr>
            <a:defRPr lang="en-GB"/>
          </a:defPPr>
          <a:lvl1pPr algn="ctr" rtl="0" fontAlgn="base">
            <a:spcBef>
              <a:spcPct val="0"/>
            </a:spcBef>
            <a:spcAft>
              <a:spcPct val="0"/>
            </a:spcAft>
            <a:defRPr sz="800" kern="1200">
              <a:solidFill>
                <a:schemeClr val="tx1"/>
              </a:solidFill>
              <a:latin typeface="Trebuchet MS" pitchFamily="34" charset="0"/>
              <a:ea typeface="+mn-ea"/>
              <a:cs typeface="+mn-cs"/>
            </a:defRPr>
          </a:lvl1pPr>
          <a:lvl2pPr marL="400736" algn="ctr" rtl="0" fontAlgn="base">
            <a:spcBef>
              <a:spcPct val="0"/>
            </a:spcBef>
            <a:spcAft>
              <a:spcPct val="0"/>
            </a:spcAft>
            <a:defRPr sz="800" kern="1200">
              <a:solidFill>
                <a:schemeClr val="tx1"/>
              </a:solidFill>
              <a:latin typeface="Trebuchet MS" pitchFamily="34" charset="0"/>
              <a:ea typeface="+mn-ea"/>
              <a:cs typeface="+mn-cs"/>
            </a:defRPr>
          </a:lvl2pPr>
          <a:lvl3pPr marL="801472" algn="ctr" rtl="0" fontAlgn="base">
            <a:spcBef>
              <a:spcPct val="0"/>
            </a:spcBef>
            <a:spcAft>
              <a:spcPct val="0"/>
            </a:spcAft>
            <a:defRPr sz="800" kern="1200">
              <a:solidFill>
                <a:schemeClr val="tx1"/>
              </a:solidFill>
              <a:latin typeface="Trebuchet MS" pitchFamily="34" charset="0"/>
              <a:ea typeface="+mn-ea"/>
              <a:cs typeface="+mn-cs"/>
            </a:defRPr>
          </a:lvl3pPr>
          <a:lvl4pPr marL="1202207" algn="ctr" rtl="0" fontAlgn="base">
            <a:spcBef>
              <a:spcPct val="0"/>
            </a:spcBef>
            <a:spcAft>
              <a:spcPct val="0"/>
            </a:spcAft>
            <a:defRPr sz="800" kern="1200">
              <a:solidFill>
                <a:schemeClr val="tx1"/>
              </a:solidFill>
              <a:latin typeface="Trebuchet MS" pitchFamily="34" charset="0"/>
              <a:ea typeface="+mn-ea"/>
              <a:cs typeface="+mn-cs"/>
            </a:defRPr>
          </a:lvl4pPr>
          <a:lvl5pPr marL="1602943" algn="ctr" rtl="0" fontAlgn="base">
            <a:spcBef>
              <a:spcPct val="0"/>
            </a:spcBef>
            <a:spcAft>
              <a:spcPct val="0"/>
            </a:spcAft>
            <a:defRPr sz="800" kern="1200">
              <a:solidFill>
                <a:schemeClr val="tx1"/>
              </a:solidFill>
              <a:latin typeface="Trebuchet MS" pitchFamily="34" charset="0"/>
              <a:ea typeface="+mn-ea"/>
              <a:cs typeface="+mn-cs"/>
            </a:defRPr>
          </a:lvl5pPr>
          <a:lvl6pPr marL="2003679" algn="l" defTabSz="801472" rtl="0" eaLnBrk="1" latinLnBrk="0" hangingPunct="1">
            <a:defRPr sz="800" kern="1200">
              <a:solidFill>
                <a:schemeClr val="tx1"/>
              </a:solidFill>
              <a:latin typeface="Trebuchet MS" pitchFamily="34" charset="0"/>
              <a:ea typeface="+mn-ea"/>
              <a:cs typeface="+mn-cs"/>
            </a:defRPr>
          </a:lvl6pPr>
          <a:lvl7pPr marL="2404415" algn="l" defTabSz="801472" rtl="0" eaLnBrk="1" latinLnBrk="0" hangingPunct="1">
            <a:defRPr sz="800" kern="1200">
              <a:solidFill>
                <a:schemeClr val="tx1"/>
              </a:solidFill>
              <a:latin typeface="Trebuchet MS" pitchFamily="34" charset="0"/>
              <a:ea typeface="+mn-ea"/>
              <a:cs typeface="+mn-cs"/>
            </a:defRPr>
          </a:lvl7pPr>
          <a:lvl8pPr marL="2805151" algn="l" defTabSz="801472" rtl="0" eaLnBrk="1" latinLnBrk="0" hangingPunct="1">
            <a:defRPr sz="800" kern="1200">
              <a:solidFill>
                <a:schemeClr val="tx1"/>
              </a:solidFill>
              <a:latin typeface="Trebuchet MS" pitchFamily="34" charset="0"/>
              <a:ea typeface="+mn-ea"/>
              <a:cs typeface="+mn-cs"/>
            </a:defRPr>
          </a:lvl8pPr>
          <a:lvl9pPr marL="3205886" algn="l" defTabSz="801472" rtl="0" eaLnBrk="1" latinLnBrk="0" hangingPunct="1">
            <a:defRPr sz="800" kern="1200">
              <a:solidFill>
                <a:schemeClr val="tx1"/>
              </a:solidFill>
              <a:latin typeface="Trebuchet MS" pitchFamily="34" charset="0"/>
              <a:ea typeface="+mn-ea"/>
              <a:cs typeface="+mn-cs"/>
            </a:defRPr>
          </a:lvl9pPr>
        </a:lstStyle>
        <a:p>
          <a:pPr algn="l"/>
          <a:r>
            <a:rPr lang="fr-FR" sz="1000" b="1">
              <a:solidFill>
                <a:schemeClr val="bg2">
                  <a:lumMod val="25000"/>
                </a:schemeClr>
              </a:solidFill>
              <a:latin typeface="Trebuchet MS" panose="020B0603020202020204" pitchFamily="34" charset="0"/>
            </a:rPr>
            <a:t>5. Niveau de l’écart constaté par rapport aux données reportées par les entreprises en 2021 (dans le cas où la déclaration des entreprises dépasse celle de l’entité publique) :</a:t>
          </a:r>
          <a:endParaRPr lang="fr-FR" sz="1000" b="1" kern="1200">
            <a:solidFill>
              <a:schemeClr val="bg2">
                <a:lumMod val="25000"/>
              </a:schemeClr>
            </a:solidFill>
            <a:latin typeface="Trebuchet MS" panose="020B0603020202020204" pitchFamily="34" charset="0"/>
            <a:ea typeface="+mn-ea"/>
            <a:cs typeface="+mn-cs"/>
          </a:endParaRPr>
        </a:p>
      </xdr:txBody>
    </xdr:sp>
    <xdr:clientData/>
  </xdr:twoCellAnchor>
  <xdr:twoCellAnchor>
    <xdr:from>
      <xdr:col>0</xdr:col>
      <xdr:colOff>734787</xdr:colOff>
      <xdr:row>44</xdr:row>
      <xdr:rowOff>122464</xdr:rowOff>
    </xdr:from>
    <xdr:to>
      <xdr:col>7</xdr:col>
      <xdr:colOff>81643</xdr:colOff>
      <xdr:row>47</xdr:row>
      <xdr:rowOff>89958</xdr:rowOff>
    </xdr:to>
    <xdr:sp macro="" textlink="">
      <xdr:nvSpPr>
        <xdr:cNvPr id="8" name="ZoneTexte 3">
          <a:extLst>
            <a:ext uri="{FF2B5EF4-FFF2-40B4-BE49-F238E27FC236}">
              <a16:creationId xmlns:a16="http://schemas.microsoft.com/office/drawing/2014/main" id="{00000000-0008-0000-2200-000008000000}"/>
            </a:ext>
          </a:extLst>
        </xdr:cNvPr>
        <xdr:cNvSpPr txBox="1"/>
      </xdr:nvSpPr>
      <xdr:spPr>
        <a:xfrm>
          <a:off x="734787" y="9701893"/>
          <a:ext cx="8000999" cy="538994"/>
        </a:xfrm>
        <a:prstGeom prst="rect">
          <a:avLst/>
        </a:prstGeom>
        <a:noFill/>
      </xdr:spPr>
      <xdr:txBody>
        <a:bodyPr wrap="square">
          <a:spAutoFit/>
        </a:bodyPr>
        <a:lstStyle>
          <a:defPPr>
            <a:defRPr lang="en-GB"/>
          </a:defPPr>
          <a:lvl1pPr algn="ctr" rtl="0" fontAlgn="base">
            <a:spcBef>
              <a:spcPct val="0"/>
            </a:spcBef>
            <a:spcAft>
              <a:spcPct val="0"/>
            </a:spcAft>
            <a:defRPr sz="800" kern="1200">
              <a:solidFill>
                <a:schemeClr val="tx1"/>
              </a:solidFill>
              <a:latin typeface="Trebuchet MS" pitchFamily="34" charset="0"/>
              <a:ea typeface="+mn-ea"/>
              <a:cs typeface="+mn-cs"/>
            </a:defRPr>
          </a:lvl1pPr>
          <a:lvl2pPr marL="400736" algn="ctr" rtl="0" fontAlgn="base">
            <a:spcBef>
              <a:spcPct val="0"/>
            </a:spcBef>
            <a:spcAft>
              <a:spcPct val="0"/>
            </a:spcAft>
            <a:defRPr sz="800" kern="1200">
              <a:solidFill>
                <a:schemeClr val="tx1"/>
              </a:solidFill>
              <a:latin typeface="Trebuchet MS" pitchFamily="34" charset="0"/>
              <a:ea typeface="+mn-ea"/>
              <a:cs typeface="+mn-cs"/>
            </a:defRPr>
          </a:lvl2pPr>
          <a:lvl3pPr marL="801472" algn="ctr" rtl="0" fontAlgn="base">
            <a:spcBef>
              <a:spcPct val="0"/>
            </a:spcBef>
            <a:spcAft>
              <a:spcPct val="0"/>
            </a:spcAft>
            <a:defRPr sz="800" kern="1200">
              <a:solidFill>
                <a:schemeClr val="tx1"/>
              </a:solidFill>
              <a:latin typeface="Trebuchet MS" pitchFamily="34" charset="0"/>
              <a:ea typeface="+mn-ea"/>
              <a:cs typeface="+mn-cs"/>
            </a:defRPr>
          </a:lvl3pPr>
          <a:lvl4pPr marL="1202207" algn="ctr" rtl="0" fontAlgn="base">
            <a:spcBef>
              <a:spcPct val="0"/>
            </a:spcBef>
            <a:spcAft>
              <a:spcPct val="0"/>
            </a:spcAft>
            <a:defRPr sz="800" kern="1200">
              <a:solidFill>
                <a:schemeClr val="tx1"/>
              </a:solidFill>
              <a:latin typeface="Trebuchet MS" pitchFamily="34" charset="0"/>
              <a:ea typeface="+mn-ea"/>
              <a:cs typeface="+mn-cs"/>
            </a:defRPr>
          </a:lvl4pPr>
          <a:lvl5pPr marL="1602943" algn="ctr" rtl="0" fontAlgn="base">
            <a:spcBef>
              <a:spcPct val="0"/>
            </a:spcBef>
            <a:spcAft>
              <a:spcPct val="0"/>
            </a:spcAft>
            <a:defRPr sz="800" kern="1200">
              <a:solidFill>
                <a:schemeClr val="tx1"/>
              </a:solidFill>
              <a:latin typeface="Trebuchet MS" pitchFamily="34" charset="0"/>
              <a:ea typeface="+mn-ea"/>
              <a:cs typeface="+mn-cs"/>
            </a:defRPr>
          </a:lvl5pPr>
          <a:lvl6pPr marL="2003679" algn="l" defTabSz="801472" rtl="0" eaLnBrk="1" latinLnBrk="0" hangingPunct="1">
            <a:defRPr sz="800" kern="1200">
              <a:solidFill>
                <a:schemeClr val="tx1"/>
              </a:solidFill>
              <a:latin typeface="Trebuchet MS" pitchFamily="34" charset="0"/>
              <a:ea typeface="+mn-ea"/>
              <a:cs typeface="+mn-cs"/>
            </a:defRPr>
          </a:lvl6pPr>
          <a:lvl7pPr marL="2404415" algn="l" defTabSz="801472" rtl="0" eaLnBrk="1" latinLnBrk="0" hangingPunct="1">
            <a:defRPr sz="800" kern="1200">
              <a:solidFill>
                <a:schemeClr val="tx1"/>
              </a:solidFill>
              <a:latin typeface="Trebuchet MS" pitchFamily="34" charset="0"/>
              <a:ea typeface="+mn-ea"/>
              <a:cs typeface="+mn-cs"/>
            </a:defRPr>
          </a:lvl7pPr>
          <a:lvl8pPr marL="2805151" algn="l" defTabSz="801472" rtl="0" eaLnBrk="1" latinLnBrk="0" hangingPunct="1">
            <a:defRPr sz="800" kern="1200">
              <a:solidFill>
                <a:schemeClr val="tx1"/>
              </a:solidFill>
              <a:latin typeface="Trebuchet MS" pitchFamily="34" charset="0"/>
              <a:ea typeface="+mn-ea"/>
              <a:cs typeface="+mn-cs"/>
            </a:defRPr>
          </a:lvl8pPr>
          <a:lvl9pPr marL="3205886" algn="l" defTabSz="801472" rtl="0" eaLnBrk="1" latinLnBrk="0" hangingPunct="1">
            <a:defRPr sz="800" kern="1200">
              <a:solidFill>
                <a:schemeClr val="tx1"/>
              </a:solidFill>
              <a:latin typeface="Trebuchet MS" pitchFamily="34" charset="0"/>
              <a:ea typeface="+mn-ea"/>
              <a:cs typeface="+mn-cs"/>
            </a:defRPr>
          </a:lvl9pPr>
        </a:lstStyle>
        <a:p>
          <a:pPr algn="l"/>
          <a:r>
            <a:rPr lang="fr-FR" sz="1000">
              <a:solidFill>
                <a:schemeClr val="bg2">
                  <a:lumMod val="25000"/>
                </a:schemeClr>
              </a:solidFill>
              <a:latin typeface="Trebuchet MS" panose="020B0603020202020204" pitchFamily="34" charset="0"/>
            </a:rPr>
            <a:t>Trois sociétés minières (COMPAGNIE DES BAUXITES DE GUINEE (CBG), ALLIANCE MINING COMMODITES GUINEE (AMC) et SOCIETE DES MINES DE FER DE GUINEE (SMFG) ont fourni leurs déclarations ITIE 2021. les paiements déclarés par ces sociétés ont été rapprochés avec les recettes déclarées par les entités publiques. Le résultat de cette réconciliation en milliards de GNF, se présente comme suit :</a:t>
          </a:r>
          <a:endParaRPr lang="fr-FR" sz="1000" kern="1200">
            <a:solidFill>
              <a:schemeClr val="bg2">
                <a:lumMod val="25000"/>
              </a:schemeClr>
            </a:solidFill>
            <a:latin typeface="Trebuchet MS" panose="020B0603020202020204" pitchFamily="34" charset="0"/>
            <a:ea typeface="+mn-ea"/>
            <a:cs typeface="+mn-cs"/>
          </a:endParaRPr>
        </a:p>
      </xdr:txBody>
    </xdr:sp>
    <xdr:clientData/>
  </xdr:twoCellAnchor>
  <xdr:twoCellAnchor>
    <xdr:from>
      <xdr:col>1</xdr:col>
      <xdr:colOff>0</xdr:colOff>
      <xdr:row>62</xdr:row>
      <xdr:rowOff>0</xdr:rowOff>
    </xdr:from>
    <xdr:to>
      <xdr:col>13</xdr:col>
      <xdr:colOff>13179</xdr:colOff>
      <xdr:row>63</xdr:row>
      <xdr:rowOff>67236</xdr:rowOff>
    </xdr:to>
    <xdr:sp macro="" textlink="">
      <xdr:nvSpPr>
        <xdr:cNvPr id="9" name="ZoneTexte 3">
          <a:extLst>
            <a:ext uri="{FF2B5EF4-FFF2-40B4-BE49-F238E27FC236}">
              <a16:creationId xmlns:a16="http://schemas.microsoft.com/office/drawing/2014/main" id="{00000000-0008-0000-2200-000009000000}"/>
            </a:ext>
          </a:extLst>
        </xdr:cNvPr>
        <xdr:cNvSpPr txBox="1"/>
      </xdr:nvSpPr>
      <xdr:spPr>
        <a:xfrm>
          <a:off x="762000" y="13511893"/>
          <a:ext cx="14586429" cy="257736"/>
        </a:xfrm>
        <a:prstGeom prst="rect">
          <a:avLst/>
        </a:prstGeom>
        <a:solidFill>
          <a:schemeClr val="bg2">
            <a:lumMod val="75000"/>
          </a:schemeClr>
        </a:solidFill>
      </xdr:spPr>
      <xdr:txBody>
        <a:bodyPr wrap="square">
          <a:spAutoFit/>
        </a:bodyPr>
        <a:lstStyle>
          <a:defPPr>
            <a:defRPr lang="en-GB"/>
          </a:defPPr>
          <a:lvl1pPr algn="ctr" rtl="0" fontAlgn="base">
            <a:spcBef>
              <a:spcPct val="0"/>
            </a:spcBef>
            <a:spcAft>
              <a:spcPct val="0"/>
            </a:spcAft>
            <a:defRPr sz="800" kern="1200">
              <a:solidFill>
                <a:schemeClr val="tx1"/>
              </a:solidFill>
              <a:latin typeface="Trebuchet MS" pitchFamily="34" charset="0"/>
              <a:ea typeface="+mn-ea"/>
              <a:cs typeface="+mn-cs"/>
            </a:defRPr>
          </a:lvl1pPr>
          <a:lvl2pPr marL="400736" algn="ctr" rtl="0" fontAlgn="base">
            <a:spcBef>
              <a:spcPct val="0"/>
            </a:spcBef>
            <a:spcAft>
              <a:spcPct val="0"/>
            </a:spcAft>
            <a:defRPr sz="800" kern="1200">
              <a:solidFill>
                <a:schemeClr val="tx1"/>
              </a:solidFill>
              <a:latin typeface="Trebuchet MS" pitchFamily="34" charset="0"/>
              <a:ea typeface="+mn-ea"/>
              <a:cs typeface="+mn-cs"/>
            </a:defRPr>
          </a:lvl2pPr>
          <a:lvl3pPr marL="801472" algn="ctr" rtl="0" fontAlgn="base">
            <a:spcBef>
              <a:spcPct val="0"/>
            </a:spcBef>
            <a:spcAft>
              <a:spcPct val="0"/>
            </a:spcAft>
            <a:defRPr sz="800" kern="1200">
              <a:solidFill>
                <a:schemeClr val="tx1"/>
              </a:solidFill>
              <a:latin typeface="Trebuchet MS" pitchFamily="34" charset="0"/>
              <a:ea typeface="+mn-ea"/>
              <a:cs typeface="+mn-cs"/>
            </a:defRPr>
          </a:lvl3pPr>
          <a:lvl4pPr marL="1202207" algn="ctr" rtl="0" fontAlgn="base">
            <a:spcBef>
              <a:spcPct val="0"/>
            </a:spcBef>
            <a:spcAft>
              <a:spcPct val="0"/>
            </a:spcAft>
            <a:defRPr sz="800" kern="1200">
              <a:solidFill>
                <a:schemeClr val="tx1"/>
              </a:solidFill>
              <a:latin typeface="Trebuchet MS" pitchFamily="34" charset="0"/>
              <a:ea typeface="+mn-ea"/>
              <a:cs typeface="+mn-cs"/>
            </a:defRPr>
          </a:lvl4pPr>
          <a:lvl5pPr marL="1602943" algn="ctr" rtl="0" fontAlgn="base">
            <a:spcBef>
              <a:spcPct val="0"/>
            </a:spcBef>
            <a:spcAft>
              <a:spcPct val="0"/>
            </a:spcAft>
            <a:defRPr sz="800" kern="1200">
              <a:solidFill>
                <a:schemeClr val="tx1"/>
              </a:solidFill>
              <a:latin typeface="Trebuchet MS" pitchFamily="34" charset="0"/>
              <a:ea typeface="+mn-ea"/>
              <a:cs typeface="+mn-cs"/>
            </a:defRPr>
          </a:lvl5pPr>
          <a:lvl6pPr marL="2003679" algn="l" defTabSz="801472" rtl="0" eaLnBrk="1" latinLnBrk="0" hangingPunct="1">
            <a:defRPr sz="800" kern="1200">
              <a:solidFill>
                <a:schemeClr val="tx1"/>
              </a:solidFill>
              <a:latin typeface="Trebuchet MS" pitchFamily="34" charset="0"/>
              <a:ea typeface="+mn-ea"/>
              <a:cs typeface="+mn-cs"/>
            </a:defRPr>
          </a:lvl6pPr>
          <a:lvl7pPr marL="2404415" algn="l" defTabSz="801472" rtl="0" eaLnBrk="1" latinLnBrk="0" hangingPunct="1">
            <a:defRPr sz="800" kern="1200">
              <a:solidFill>
                <a:schemeClr val="tx1"/>
              </a:solidFill>
              <a:latin typeface="Trebuchet MS" pitchFamily="34" charset="0"/>
              <a:ea typeface="+mn-ea"/>
              <a:cs typeface="+mn-cs"/>
            </a:defRPr>
          </a:lvl7pPr>
          <a:lvl8pPr marL="2805151" algn="l" defTabSz="801472" rtl="0" eaLnBrk="1" latinLnBrk="0" hangingPunct="1">
            <a:defRPr sz="800" kern="1200">
              <a:solidFill>
                <a:schemeClr val="tx1"/>
              </a:solidFill>
              <a:latin typeface="Trebuchet MS" pitchFamily="34" charset="0"/>
              <a:ea typeface="+mn-ea"/>
              <a:cs typeface="+mn-cs"/>
            </a:defRPr>
          </a:lvl8pPr>
          <a:lvl9pPr marL="3205886" algn="l" defTabSz="801472" rtl="0" eaLnBrk="1" latinLnBrk="0" hangingPunct="1">
            <a:defRPr sz="800" kern="1200">
              <a:solidFill>
                <a:schemeClr val="tx1"/>
              </a:solidFill>
              <a:latin typeface="Trebuchet MS" pitchFamily="34" charset="0"/>
              <a:ea typeface="+mn-ea"/>
              <a:cs typeface="+mn-cs"/>
            </a:defRPr>
          </a:lvl9pPr>
        </a:lstStyle>
        <a:p>
          <a:pPr algn="just">
            <a:spcBef>
              <a:spcPts val="600"/>
            </a:spcBef>
          </a:pPr>
          <a:r>
            <a:rPr lang="fr-FR" sz="1100" b="1">
              <a:solidFill>
                <a:schemeClr val="tx1">
                  <a:lumMod val="50000"/>
                </a:schemeClr>
              </a:solidFill>
              <a:effectLst/>
              <a:latin typeface="Trebuchet MS" panose="020B0603020202020204" pitchFamily="34" charset="0"/>
              <a:ea typeface="Times New Roman" panose="02020603050405020304" pitchFamily="18" charset="0"/>
              <a:cs typeface="Kohinoor Devanagari" panose="02000000000000000000" pitchFamily="50" charset="0"/>
            </a:rPr>
            <a:t>Evaluation du Risque de fiabilité des données : </a:t>
          </a:r>
          <a:endParaRPr lang="fr-FR" sz="1100" b="1">
            <a:solidFill>
              <a:schemeClr val="tx1">
                <a:lumMod val="50000"/>
              </a:schemeClr>
            </a:solidFill>
          </a:endParaRPr>
        </a:p>
      </xdr:txBody>
    </xdr:sp>
    <xdr:clientData/>
  </xdr:twoCellAnchor>
  <xdr:twoCellAnchor>
    <xdr:from>
      <xdr:col>1</xdr:col>
      <xdr:colOff>0</xdr:colOff>
      <xdr:row>63</xdr:row>
      <xdr:rowOff>122464</xdr:rowOff>
    </xdr:from>
    <xdr:to>
      <xdr:col>7</xdr:col>
      <xdr:colOff>502818</xdr:colOff>
      <xdr:row>65</xdr:row>
      <xdr:rowOff>131571</xdr:rowOff>
    </xdr:to>
    <xdr:sp macro="" textlink="">
      <xdr:nvSpPr>
        <xdr:cNvPr id="10" name="ZoneTexte 2">
          <a:extLst>
            <a:ext uri="{FF2B5EF4-FFF2-40B4-BE49-F238E27FC236}">
              <a16:creationId xmlns:a16="http://schemas.microsoft.com/office/drawing/2014/main" id="{00000000-0008-0000-2200-00000A000000}"/>
            </a:ext>
          </a:extLst>
        </xdr:cNvPr>
        <xdr:cNvSpPr txBox="1"/>
      </xdr:nvSpPr>
      <xdr:spPr>
        <a:xfrm>
          <a:off x="762000" y="13824857"/>
          <a:ext cx="8585461" cy="390107"/>
        </a:xfrm>
        <a:prstGeom prst="rect">
          <a:avLst/>
        </a:prstGeom>
        <a:noFill/>
      </xdr:spPr>
      <xdr:txBody>
        <a:bodyPr wrap="square">
          <a:spAutoFit/>
        </a:bodyPr>
        <a:lstStyle>
          <a:defPPr>
            <a:defRPr lang="en-GB"/>
          </a:defPPr>
          <a:lvl1pPr algn="ctr" rtl="0" fontAlgn="base">
            <a:spcBef>
              <a:spcPct val="0"/>
            </a:spcBef>
            <a:spcAft>
              <a:spcPct val="0"/>
            </a:spcAft>
            <a:defRPr sz="800" kern="1200">
              <a:solidFill>
                <a:schemeClr val="tx1"/>
              </a:solidFill>
              <a:latin typeface="Trebuchet MS" pitchFamily="34" charset="0"/>
              <a:ea typeface="+mn-ea"/>
              <a:cs typeface="+mn-cs"/>
            </a:defRPr>
          </a:lvl1pPr>
          <a:lvl2pPr marL="400736" algn="ctr" rtl="0" fontAlgn="base">
            <a:spcBef>
              <a:spcPct val="0"/>
            </a:spcBef>
            <a:spcAft>
              <a:spcPct val="0"/>
            </a:spcAft>
            <a:defRPr sz="800" kern="1200">
              <a:solidFill>
                <a:schemeClr val="tx1"/>
              </a:solidFill>
              <a:latin typeface="Trebuchet MS" pitchFamily="34" charset="0"/>
              <a:ea typeface="+mn-ea"/>
              <a:cs typeface="+mn-cs"/>
            </a:defRPr>
          </a:lvl2pPr>
          <a:lvl3pPr marL="801472" algn="ctr" rtl="0" fontAlgn="base">
            <a:spcBef>
              <a:spcPct val="0"/>
            </a:spcBef>
            <a:spcAft>
              <a:spcPct val="0"/>
            </a:spcAft>
            <a:defRPr sz="800" kern="1200">
              <a:solidFill>
                <a:schemeClr val="tx1"/>
              </a:solidFill>
              <a:latin typeface="Trebuchet MS" pitchFamily="34" charset="0"/>
              <a:ea typeface="+mn-ea"/>
              <a:cs typeface="+mn-cs"/>
            </a:defRPr>
          </a:lvl3pPr>
          <a:lvl4pPr marL="1202207" algn="ctr" rtl="0" fontAlgn="base">
            <a:spcBef>
              <a:spcPct val="0"/>
            </a:spcBef>
            <a:spcAft>
              <a:spcPct val="0"/>
            </a:spcAft>
            <a:defRPr sz="800" kern="1200">
              <a:solidFill>
                <a:schemeClr val="tx1"/>
              </a:solidFill>
              <a:latin typeface="Trebuchet MS" pitchFamily="34" charset="0"/>
              <a:ea typeface="+mn-ea"/>
              <a:cs typeface="+mn-cs"/>
            </a:defRPr>
          </a:lvl4pPr>
          <a:lvl5pPr marL="1602943" algn="ctr" rtl="0" fontAlgn="base">
            <a:spcBef>
              <a:spcPct val="0"/>
            </a:spcBef>
            <a:spcAft>
              <a:spcPct val="0"/>
            </a:spcAft>
            <a:defRPr sz="800" kern="1200">
              <a:solidFill>
                <a:schemeClr val="tx1"/>
              </a:solidFill>
              <a:latin typeface="Trebuchet MS" pitchFamily="34" charset="0"/>
              <a:ea typeface="+mn-ea"/>
              <a:cs typeface="+mn-cs"/>
            </a:defRPr>
          </a:lvl5pPr>
          <a:lvl6pPr marL="2003679" algn="l" defTabSz="801472" rtl="0" eaLnBrk="1" latinLnBrk="0" hangingPunct="1">
            <a:defRPr sz="800" kern="1200">
              <a:solidFill>
                <a:schemeClr val="tx1"/>
              </a:solidFill>
              <a:latin typeface="Trebuchet MS" pitchFamily="34" charset="0"/>
              <a:ea typeface="+mn-ea"/>
              <a:cs typeface="+mn-cs"/>
            </a:defRPr>
          </a:lvl6pPr>
          <a:lvl7pPr marL="2404415" algn="l" defTabSz="801472" rtl="0" eaLnBrk="1" latinLnBrk="0" hangingPunct="1">
            <a:defRPr sz="800" kern="1200">
              <a:solidFill>
                <a:schemeClr val="tx1"/>
              </a:solidFill>
              <a:latin typeface="Trebuchet MS" pitchFamily="34" charset="0"/>
              <a:ea typeface="+mn-ea"/>
              <a:cs typeface="+mn-cs"/>
            </a:defRPr>
          </a:lvl7pPr>
          <a:lvl8pPr marL="2805151" algn="l" defTabSz="801472" rtl="0" eaLnBrk="1" latinLnBrk="0" hangingPunct="1">
            <a:defRPr sz="800" kern="1200">
              <a:solidFill>
                <a:schemeClr val="tx1"/>
              </a:solidFill>
              <a:latin typeface="Trebuchet MS" pitchFamily="34" charset="0"/>
              <a:ea typeface="+mn-ea"/>
              <a:cs typeface="+mn-cs"/>
            </a:defRPr>
          </a:lvl8pPr>
          <a:lvl9pPr marL="3205886" algn="l" defTabSz="801472" rtl="0" eaLnBrk="1" latinLnBrk="0" hangingPunct="1">
            <a:defRPr sz="800" kern="1200">
              <a:solidFill>
                <a:schemeClr val="tx1"/>
              </a:solidFill>
              <a:latin typeface="Trebuchet MS" pitchFamily="34" charset="0"/>
              <a:ea typeface="+mn-ea"/>
              <a:cs typeface="+mn-cs"/>
            </a:defRPr>
          </a:lvl9pPr>
        </a:lstStyle>
        <a:p>
          <a:pPr algn="l"/>
          <a:r>
            <a:rPr lang="fr-FR" sz="1000" b="1">
              <a:solidFill>
                <a:schemeClr val="bg2">
                  <a:lumMod val="25000"/>
                </a:schemeClr>
              </a:solidFill>
              <a:latin typeface="Trebuchet MS" panose="020B0603020202020204" pitchFamily="34" charset="0"/>
            </a:rPr>
            <a:t>1. Niveau de ponctualité des rapports de certification sur les comptes entités publiques et des rapports des commissaires aux comptes des Entreprises d’Etat</a:t>
          </a:r>
          <a:endParaRPr lang="fr-FR" sz="1000" b="1" kern="1200">
            <a:solidFill>
              <a:schemeClr val="bg2">
                <a:lumMod val="25000"/>
              </a:schemeClr>
            </a:solidFill>
            <a:latin typeface="Trebuchet MS" panose="020B0603020202020204" pitchFamily="34" charset="0"/>
            <a:ea typeface="+mn-ea"/>
            <a:cs typeface="+mn-cs"/>
          </a:endParaRPr>
        </a:p>
      </xdr:txBody>
    </xdr:sp>
    <xdr:clientData/>
  </xdr:twoCellAnchor>
  <xdr:twoCellAnchor>
    <xdr:from>
      <xdr:col>8</xdr:col>
      <xdr:colOff>149679</xdr:colOff>
      <xdr:row>63</xdr:row>
      <xdr:rowOff>108857</xdr:rowOff>
    </xdr:from>
    <xdr:to>
      <xdr:col>17</xdr:col>
      <xdr:colOff>691745</xdr:colOff>
      <xdr:row>65</xdr:row>
      <xdr:rowOff>117964</xdr:rowOff>
    </xdr:to>
    <xdr:sp macro="" textlink="">
      <xdr:nvSpPr>
        <xdr:cNvPr id="12" name="ZoneTexte 2">
          <a:extLst>
            <a:ext uri="{FF2B5EF4-FFF2-40B4-BE49-F238E27FC236}">
              <a16:creationId xmlns:a16="http://schemas.microsoft.com/office/drawing/2014/main" id="{00000000-0008-0000-2200-00000C000000}"/>
            </a:ext>
          </a:extLst>
        </xdr:cNvPr>
        <xdr:cNvSpPr txBox="1"/>
      </xdr:nvSpPr>
      <xdr:spPr>
        <a:xfrm>
          <a:off x="10518322" y="13811250"/>
          <a:ext cx="8556673" cy="390107"/>
        </a:xfrm>
        <a:prstGeom prst="rect">
          <a:avLst/>
        </a:prstGeom>
        <a:noFill/>
      </xdr:spPr>
      <xdr:txBody>
        <a:bodyPr wrap="square">
          <a:spAutoFit/>
        </a:bodyPr>
        <a:lstStyle>
          <a:defPPr>
            <a:defRPr lang="en-GB"/>
          </a:defPPr>
          <a:lvl1pPr algn="ctr" rtl="0" fontAlgn="base">
            <a:spcBef>
              <a:spcPct val="0"/>
            </a:spcBef>
            <a:spcAft>
              <a:spcPct val="0"/>
            </a:spcAft>
            <a:defRPr sz="800" kern="1200">
              <a:solidFill>
                <a:schemeClr val="tx1"/>
              </a:solidFill>
              <a:latin typeface="Trebuchet MS" pitchFamily="34" charset="0"/>
              <a:ea typeface="+mn-ea"/>
              <a:cs typeface="+mn-cs"/>
            </a:defRPr>
          </a:lvl1pPr>
          <a:lvl2pPr marL="400736" algn="ctr" rtl="0" fontAlgn="base">
            <a:spcBef>
              <a:spcPct val="0"/>
            </a:spcBef>
            <a:spcAft>
              <a:spcPct val="0"/>
            </a:spcAft>
            <a:defRPr sz="800" kern="1200">
              <a:solidFill>
                <a:schemeClr val="tx1"/>
              </a:solidFill>
              <a:latin typeface="Trebuchet MS" pitchFamily="34" charset="0"/>
              <a:ea typeface="+mn-ea"/>
              <a:cs typeface="+mn-cs"/>
            </a:defRPr>
          </a:lvl2pPr>
          <a:lvl3pPr marL="801472" algn="ctr" rtl="0" fontAlgn="base">
            <a:spcBef>
              <a:spcPct val="0"/>
            </a:spcBef>
            <a:spcAft>
              <a:spcPct val="0"/>
            </a:spcAft>
            <a:defRPr sz="800" kern="1200">
              <a:solidFill>
                <a:schemeClr val="tx1"/>
              </a:solidFill>
              <a:latin typeface="Trebuchet MS" pitchFamily="34" charset="0"/>
              <a:ea typeface="+mn-ea"/>
              <a:cs typeface="+mn-cs"/>
            </a:defRPr>
          </a:lvl3pPr>
          <a:lvl4pPr marL="1202207" algn="ctr" rtl="0" fontAlgn="base">
            <a:spcBef>
              <a:spcPct val="0"/>
            </a:spcBef>
            <a:spcAft>
              <a:spcPct val="0"/>
            </a:spcAft>
            <a:defRPr sz="800" kern="1200">
              <a:solidFill>
                <a:schemeClr val="tx1"/>
              </a:solidFill>
              <a:latin typeface="Trebuchet MS" pitchFamily="34" charset="0"/>
              <a:ea typeface="+mn-ea"/>
              <a:cs typeface="+mn-cs"/>
            </a:defRPr>
          </a:lvl4pPr>
          <a:lvl5pPr marL="1602943" algn="ctr" rtl="0" fontAlgn="base">
            <a:spcBef>
              <a:spcPct val="0"/>
            </a:spcBef>
            <a:spcAft>
              <a:spcPct val="0"/>
            </a:spcAft>
            <a:defRPr sz="800" kern="1200">
              <a:solidFill>
                <a:schemeClr val="tx1"/>
              </a:solidFill>
              <a:latin typeface="Trebuchet MS" pitchFamily="34" charset="0"/>
              <a:ea typeface="+mn-ea"/>
              <a:cs typeface="+mn-cs"/>
            </a:defRPr>
          </a:lvl5pPr>
          <a:lvl6pPr marL="2003679" algn="l" defTabSz="801472" rtl="0" eaLnBrk="1" latinLnBrk="0" hangingPunct="1">
            <a:defRPr sz="800" kern="1200">
              <a:solidFill>
                <a:schemeClr val="tx1"/>
              </a:solidFill>
              <a:latin typeface="Trebuchet MS" pitchFamily="34" charset="0"/>
              <a:ea typeface="+mn-ea"/>
              <a:cs typeface="+mn-cs"/>
            </a:defRPr>
          </a:lvl6pPr>
          <a:lvl7pPr marL="2404415" algn="l" defTabSz="801472" rtl="0" eaLnBrk="1" latinLnBrk="0" hangingPunct="1">
            <a:defRPr sz="800" kern="1200">
              <a:solidFill>
                <a:schemeClr val="tx1"/>
              </a:solidFill>
              <a:latin typeface="Trebuchet MS" pitchFamily="34" charset="0"/>
              <a:ea typeface="+mn-ea"/>
              <a:cs typeface="+mn-cs"/>
            </a:defRPr>
          </a:lvl7pPr>
          <a:lvl8pPr marL="2805151" algn="l" defTabSz="801472" rtl="0" eaLnBrk="1" latinLnBrk="0" hangingPunct="1">
            <a:defRPr sz="800" kern="1200">
              <a:solidFill>
                <a:schemeClr val="tx1"/>
              </a:solidFill>
              <a:latin typeface="Trebuchet MS" pitchFamily="34" charset="0"/>
              <a:ea typeface="+mn-ea"/>
              <a:cs typeface="+mn-cs"/>
            </a:defRPr>
          </a:lvl8pPr>
          <a:lvl9pPr marL="3205886" algn="l" defTabSz="801472" rtl="0" eaLnBrk="1" latinLnBrk="0" hangingPunct="1">
            <a:defRPr sz="800" kern="1200">
              <a:solidFill>
                <a:schemeClr val="tx1"/>
              </a:solidFill>
              <a:latin typeface="Trebuchet MS" pitchFamily="34" charset="0"/>
              <a:ea typeface="+mn-ea"/>
              <a:cs typeface="+mn-cs"/>
            </a:defRPr>
          </a:lvl9pPr>
        </a:lstStyle>
        <a:p>
          <a:pPr algn="l"/>
          <a:r>
            <a:rPr lang="fr-FR" sz="1000" b="1">
              <a:solidFill>
                <a:schemeClr val="bg2">
                  <a:lumMod val="25000"/>
                </a:schemeClr>
              </a:solidFill>
              <a:latin typeface="Trebuchet MS" panose="020B0603020202020204" pitchFamily="34" charset="0"/>
            </a:rPr>
            <a:t>2. Résultat de certification des déclarations ITIE des entités publiques des exercices ITIE antérieures (2019 -2020) par la Cour des Comptes et par les commissaires aux comptes pour les Entreprises publiques</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121920</xdr:colOff>
          <xdr:row>8</xdr:row>
          <xdr:rowOff>137160</xdr:rowOff>
        </xdr:to>
        <xdr:sp macro="" textlink="">
          <xdr:nvSpPr>
            <xdr:cNvPr id="67585" name="Object 1" hidden="1">
              <a:extLst>
                <a:ext uri="{63B3BB69-23CF-44E3-9099-C40C66FF867C}">
                  <a14:compatExt spid="_x0000_s67585"/>
                </a:ext>
                <a:ext uri="{FF2B5EF4-FFF2-40B4-BE49-F238E27FC236}">
                  <a16:creationId xmlns:a16="http://schemas.microsoft.com/office/drawing/2014/main" id="{00000000-0008-0000-2300-00000108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nerteamtn-my.sharepoint.com/personal/r_chkioua_enerteam_tn/Documents/Desktop/ENERTEAM/ITIE/03-%20ITIE%20GUINEE%202021/Travaux%20Guin&#233;e_2021/4-Database/Database%20ITIE%20Guin&#233;e%202021%2005.05.2023.xlsx" TargetMode="External" /><Relationship Id="rId1" Type="http://schemas.openxmlformats.org/officeDocument/2006/relationships/externalLinkPath" Target="https://enerteamtn-my.sharepoint.com/personal/r_chkioua_enerteam_tn/Documents/Desktop/ENERTEAM/ITIE/03-%20ITIE%20GUINEE%202021/Travaux%20Guin&#233;e_2021/4-Database/Database%20ITIE%20Guin&#233;e%202021%2005.05.2023.xlsx" TargetMode="External" /></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enerteamtn-my.sharepoint.com/Users/asus%20pc/Documents/Missions%20MS/2014/08-%20EITI%20Burkina%20Faso/05-%20Base%20de%20donn&#233;es/01-%20Received%20documents/Companies/38-%20BG%20International%20Ltd/TEITI%20Report%20Year%20Ended%2030%20June%202012.xlsx?C72F6352" TargetMode="External" /><Relationship Id="rId1" Type="http://schemas.openxmlformats.org/officeDocument/2006/relationships/externalLinkPath" Target="//C72F6352/TEITI%20Report%20Year%20Ended%2030%20June%202012.xlsx"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ovt Ag"/>
      <sheetName val="Companies info"/>
      <sheetName val="Tableau des effectifs"/>
      <sheetName val="Fiabilité des données"/>
      <sheetName val="Production"/>
      <sheetName val="Exportation"/>
      <sheetName val="Social payments"/>
      <sheetName val="Beneficial Ownership"/>
      <sheetName val="Lists"/>
      <sheetName val="BCRG"/>
      <sheetName val="Taxes"/>
      <sheetName val="C (1)"/>
      <sheetName val="C (2)"/>
      <sheetName val="C (3)"/>
      <sheetName val="C (4)"/>
      <sheetName val="C (5)"/>
      <sheetName val="C (6)"/>
      <sheetName val="C (7)"/>
      <sheetName val="C (8)"/>
      <sheetName val="C (9)"/>
      <sheetName val="C (10)"/>
      <sheetName val="C (11)"/>
      <sheetName val="C (12)"/>
      <sheetName val="C (13)"/>
      <sheetName val="C (14)"/>
      <sheetName val="C (15)"/>
      <sheetName val="C (16)"/>
      <sheetName val="C (17)"/>
      <sheetName val="C (18)"/>
      <sheetName val="C (19)"/>
      <sheetName val="C (20)"/>
      <sheetName val="C (21)"/>
      <sheetName val="C "/>
      <sheetName val="C (22)"/>
      <sheetName val="C (23)"/>
      <sheetName val="C (24)"/>
      <sheetName val="C (25)"/>
      <sheetName val="C (26)"/>
      <sheetName val="C (27)"/>
      <sheetName val="C (29)"/>
      <sheetName val="C (30)"/>
      <sheetName val="C (31)"/>
      <sheetName val="C (32)"/>
      <sheetName val="Results All"/>
      <sheetName val="Reporting by Comp"/>
      <sheetName val="Reporting by tax All"/>
      <sheetName val="Résultat des Tvaux en Million"/>
      <sheetName val="Reporting by Comp Mandat"/>
      <sheetName val="Total Ajust"/>
      <sheetName val="Ajust par Comp (C)"/>
      <sheetName val="Ajust par Taxe (C) all"/>
      <sheetName val="Ajust par Comp (Gov)"/>
      <sheetName val="Ajust par Taxe (Gov) all"/>
      <sheetName val="Unrec diff Comp All"/>
      <sheetName val="Unrec diff Tax all"/>
      <sheetName val="Unrec diff Tax vs Comp"/>
      <sheetName val="Paiement 2011"/>
      <sheetName val="Feuil1"/>
      <sheetName val="Reporting by Comp Mandat (2)"/>
      <sheetName val="Reporting by Comp Fonction"/>
      <sheetName val="Reporting by tax Mine (2)"/>
      <sheetName val="Unrec diff Comp vs Tax"/>
      <sheetName val="Nbr Comp per activity"/>
      <sheetName val="News"/>
    </sheetNames>
    <sheetDataSet>
      <sheetData sheetId="0" refreshError="1"/>
      <sheetData sheetId="1">
        <row r="2">
          <cell r="B2" t="str">
            <v>SOCIETE MINIERE DE BOKE SA (SMB)</v>
          </cell>
        </row>
      </sheetData>
      <sheetData sheetId="2" refreshError="1"/>
      <sheetData sheetId="3" refreshError="1"/>
      <sheetData sheetId="4" refreshError="1"/>
      <sheetData sheetId="5" refreshError="1"/>
      <sheetData sheetId="6" refreshError="1"/>
      <sheetData sheetId="7" refreshError="1"/>
      <sheetData sheetId="8">
        <row r="3">
          <cell r="A3">
            <v>2021</v>
          </cell>
        </row>
        <row r="7">
          <cell r="A7" t="str">
            <v>1- Frais d’instruction des dossiers des titres miniers</v>
          </cell>
        </row>
        <row r="8">
          <cell r="A8" t="str">
            <v xml:space="preserve">2- Droits fixes </v>
          </cell>
        </row>
        <row r="9">
          <cell r="A9" t="str">
            <v xml:space="preserve">3- Droits fixes </v>
          </cell>
        </row>
        <row r="10">
          <cell r="A10" t="str">
            <v xml:space="preserve">4- Taxe sur les substances de carrières </v>
          </cell>
        </row>
        <row r="11">
          <cell r="A11" t="str">
            <v xml:space="preserve">5- Taxe sur les substances de carrières </v>
          </cell>
        </row>
        <row r="12">
          <cell r="A12" t="str">
            <v>6- Pénalités liées aux infractions minières</v>
          </cell>
        </row>
        <row r="13">
          <cell r="A13" t="str">
            <v>7- Redevance de la BCRG sur les expéditions de l’Or</v>
          </cell>
        </row>
        <row r="14">
          <cell r="A14" t="str">
            <v>8- Taxe sur la production et l’exportation industrielle et semi-industrielle de métaux précieux (OR et autres)</v>
          </cell>
        </row>
        <row r="15">
          <cell r="A15" t="str">
            <v>9- Taxe à l’exportation sur la production artisanale de métaux précieux (OR et autres)</v>
          </cell>
        </row>
        <row r="16">
          <cell r="A16" t="str">
            <v>10- Taxe à l’extraction et à l’exportation industrielle et semi industrielle des pierres précieuses (Diamant et autres gemmes)</v>
          </cell>
        </row>
        <row r="17">
          <cell r="A17" t="str">
            <v>11- Taxe à l’exportation sur la production artisanale des pierres précieuses (Diamant et autres gemmes)</v>
          </cell>
        </row>
        <row r="18">
          <cell r="A18" t="str">
            <v>12- Redevance Comptoirs d'achat, Acheteur et Collecteur sur la commercialisation du diamant et autres gemmes</v>
          </cell>
        </row>
        <row r="19">
          <cell r="A19" t="str">
            <v>13- Redevance Comptoir, Acheteur, Collecteur et Balancier pour la commercialisation de l'Or</v>
          </cell>
        </row>
        <row r="20">
          <cell r="A20" t="str">
            <v>14- Impôt sur les sociétés</v>
          </cell>
        </row>
        <row r="21">
          <cell r="A21" t="str">
            <v>15- Taxes à l'extraction des substances minières autres que les substances précieuses (Bauxite, fer, etc..)</v>
          </cell>
        </row>
        <row r="22">
          <cell r="A22" t="str">
            <v>16- Retenues à la Source</v>
          </cell>
        </row>
        <row r="23">
          <cell r="A23" t="str">
            <v>17- Impôt sur le Revenu des Personnes Physiques (précompte / BIC / forfaitaire)</v>
          </cell>
        </row>
        <row r="24">
          <cell r="A24" t="str">
            <v>18- Retenues sur les salaires</v>
          </cell>
        </row>
        <row r="25">
          <cell r="A25" t="str">
            <v>19- Versement forfaitaire sur les salaires</v>
          </cell>
        </row>
        <row r="26">
          <cell r="A26" t="str">
            <v>20- Taxe d'apprentissage</v>
          </cell>
        </row>
        <row r="27">
          <cell r="A27" t="str">
            <v>21- Taxe sur contrat d'assurance</v>
          </cell>
        </row>
        <row r="28">
          <cell r="A28" t="str">
            <v>22- Retenue à la source sur les loyers</v>
          </cell>
        </row>
        <row r="29">
          <cell r="A29" t="str">
            <v>23- Taxe sur la valeur ajoutée reversée</v>
          </cell>
        </row>
        <row r="30">
          <cell r="A30" t="str">
            <v>24- Contribution Foncière Unique (CFU)</v>
          </cell>
        </row>
        <row r="31">
          <cell r="A31" t="str">
            <v>25- Produits d'enregistrement</v>
          </cell>
        </row>
        <row r="32">
          <cell r="A32" t="str">
            <v>26- Amendes et pénalités fiscales</v>
          </cell>
        </row>
        <row r="33">
          <cell r="A33" t="str">
            <v>27- Taxes à l’exportation des substances minières autres que les substances précieuses (Bauxite, fer, etc..)</v>
          </cell>
        </row>
        <row r="34">
          <cell r="A34" t="str">
            <v>28- Droits de douanes (Droits, TVA, etc.)</v>
          </cell>
        </row>
        <row r="35">
          <cell r="A35" t="str">
            <v>29- Amendes et pénalités douanières</v>
          </cell>
        </row>
        <row r="36">
          <cell r="A36" t="str">
            <v>30- Taxe Spéciale sur les Produits Miniers (TSPM)</v>
          </cell>
        </row>
        <row r="37">
          <cell r="A37" t="str">
            <v>31- Dividendes</v>
          </cell>
        </row>
        <row r="38">
          <cell r="A38" t="str">
            <v xml:space="preserve">32- Impôt sur la plus-value sur cession </v>
          </cell>
        </row>
        <row r="39">
          <cell r="A39" t="str">
            <v xml:space="preserve">33- Taxe sur Consommation de bauxite </v>
          </cell>
        </row>
        <row r="40">
          <cell r="A40" t="str">
            <v>34- Loyers des infrastructures minières</v>
          </cell>
        </row>
        <row r="41">
          <cell r="A41" t="str">
            <v>35- Fournitures d'infrastructures, accords de troc et remboursement de l'Etat</v>
          </cell>
        </row>
        <row r="42">
          <cell r="A42" t="str">
            <v>36- Redevances portuaires</v>
          </cell>
        </row>
        <row r="43">
          <cell r="A43" t="str">
            <v>37- Travaux et services vendus par la SOGUIPAMI</v>
          </cell>
        </row>
        <row r="44">
          <cell r="A44" t="str">
            <v>38- Droits de suite</v>
          </cell>
        </row>
        <row r="45">
          <cell r="A45" t="str">
            <v>39- Royalties / redevances</v>
          </cell>
        </row>
        <row r="46">
          <cell r="A46" t="str">
            <v xml:space="preserve">40- Produit de cession des droits miniers </v>
          </cell>
        </row>
        <row r="47">
          <cell r="A47" t="str">
            <v>41- Commission sur commercialisation des minerais issue de l’exercice du droit de préemption (+)</v>
          </cell>
        </row>
        <row r="68">
          <cell r="A68" t="str">
            <v>Taxes payées non reportées</v>
          </cell>
        </row>
        <row r="69">
          <cell r="A69" t="str">
            <v>Taxes payées hors période de réconciliation</v>
          </cell>
        </row>
        <row r="70">
          <cell r="A70" t="str">
            <v>Taxes hors périmètre de réconciliation</v>
          </cell>
        </row>
        <row r="71">
          <cell r="A71" t="str">
            <v>Erreure de reporting (montant et détail)</v>
          </cell>
        </row>
        <row r="72">
          <cell r="A72" t="str">
            <v>Taxes reportées non payées</v>
          </cell>
        </row>
        <row r="73">
          <cell r="A73" t="str">
            <v>Montant doublement déclaré</v>
          </cell>
        </row>
        <row r="74">
          <cell r="A74" t="str">
            <v>Erreure de classification</v>
          </cell>
        </row>
        <row r="75">
          <cell r="A75" t="str">
            <v>Taxes payées sous un autre NUI</v>
          </cell>
        </row>
        <row r="76">
          <cell r="A76" t="str">
            <v>Différence de change</v>
          </cell>
        </row>
        <row r="80">
          <cell r="A80" t="str">
            <v>Taxes perçues non reportés par l'Etat</v>
          </cell>
        </row>
        <row r="81">
          <cell r="A81" t="str">
            <v>Montant doublement déclaré</v>
          </cell>
        </row>
        <row r="82">
          <cell r="A82" t="str">
            <v>Taxes perçues hors de la période de réconciliation</v>
          </cell>
        </row>
        <row r="83">
          <cell r="A83" t="str">
            <v>Erreure de reporting (montant et détail)</v>
          </cell>
        </row>
        <row r="84">
          <cell r="A84" t="str">
            <v>Taxe reporté par l'Etat non réellement encaissée</v>
          </cell>
        </row>
        <row r="85">
          <cell r="A85" t="str">
            <v>Erreure de classification</v>
          </cell>
        </row>
        <row r="86">
          <cell r="A86" t="str">
            <v>Taxes payées par la Ste sur un autre IFU non reporté par l'Etat</v>
          </cell>
        </row>
        <row r="87">
          <cell r="A87" t="str">
            <v>Taxes hors périmètre de réconciliation</v>
          </cell>
        </row>
        <row r="91">
          <cell r="A91" t="str">
            <v>FD non soumis par la Société Extractive</v>
          </cell>
        </row>
        <row r="92">
          <cell r="A92" t="str">
            <v>FD non soumis par l'Etat</v>
          </cell>
        </row>
        <row r="93">
          <cell r="A93" t="str">
            <v>Montants non déclarés par la Société Extractive</v>
          </cell>
        </row>
        <row r="94">
          <cell r="A94" t="str">
            <v>Montants non déclarés par l'Etat</v>
          </cell>
        </row>
        <row r="95">
          <cell r="A95" t="str">
            <v xml:space="preserve">Détail non soumis par la Société Extractive </v>
          </cell>
        </row>
        <row r="96">
          <cell r="A96" t="str">
            <v>Détail non soumis par l'Etat</v>
          </cell>
        </row>
        <row r="97">
          <cell r="A97" t="str">
            <v>Taxes non reportées par la Société Extractive</v>
          </cell>
        </row>
        <row r="98">
          <cell r="A98" t="str">
            <v>Taxes non reportées par l'Etat</v>
          </cell>
        </row>
        <row r="99">
          <cell r="A99" t="str">
            <v>Pièces justificatives non soumises par l'Entreprise Extractive</v>
          </cell>
        </row>
        <row r="100">
          <cell r="A100" t="str">
            <v>Pièces justificatives non soumises par l'Etat</v>
          </cell>
        </row>
        <row r="101">
          <cell r="A101" t="str">
            <v>Différence de change</v>
          </cell>
        </row>
        <row r="102">
          <cell r="A102" t="str">
            <v>Déclaration non reconnue par la Société Extractive</v>
          </cell>
        </row>
        <row r="103">
          <cell r="A103" t="str">
            <v>Déclaration non reconnue par l'Etat</v>
          </cell>
        </row>
        <row r="104">
          <cell r="A104" t="str">
            <v>Non significatif &lt; 9 016 KGNF</v>
          </cell>
        </row>
      </sheetData>
      <sheetData sheetId="9" refreshError="1"/>
      <sheetData sheetId="10">
        <row r="46">
          <cell r="A46">
            <v>44</v>
          </cell>
          <cell r="B46" t="str">
            <v xml:space="preserve">Contribution à la formation professionnelle et apprentissage </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Identification sheet"/>
      <sheetName val="b. Reporting template"/>
      <sheetName val="c. Payment flow details"/>
      <sheetName val="d. Social payment details"/>
      <sheetName val="e. Production details"/>
      <sheetName val="f. Export details"/>
      <sheetName val="MEM"/>
      <sheetName val="TPDC"/>
      <sheetName val="WITHHOLDING TAX"/>
      <sheetName val="PAYE"/>
      <sheetName val="SDL"/>
      <sheetName val="STAMP DUTY"/>
      <sheetName val="NSSF"/>
      <sheetName val="PPF"/>
      <sheetName val="CSR"/>
      <sheetName val="Feuil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 /></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 /></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 /></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 /></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 /></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8.bin" /></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 /></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9.bin" /></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1" Type="http://schemas.openxmlformats.org/officeDocument/2006/relationships/printerSettings" Target="../printerSettings/printerSettings10.bin" /><Relationship Id="rId5" Type="http://schemas.openxmlformats.org/officeDocument/2006/relationships/image" Target="../media/image1.emf" /><Relationship Id="rId4" Type="http://schemas.openxmlformats.org/officeDocument/2006/relationships/package" Target="../embeddings/Microsoft_Excel_Worksheet.xlsx" /></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1.bin" /></Relationships>
</file>

<file path=xl/worksheets/_rels/sheet31.xml.rels><?xml version="1.0" encoding="UTF-8" standalone="yes"?>
<Relationships xmlns="http://schemas.openxmlformats.org/package/2006/relationships"><Relationship Id="rId2" Type="http://schemas.openxmlformats.org/officeDocument/2006/relationships/hyperlink" Target="https://resourcecontracts-nrgi.s3.us-west-2.amazonaws.com/4822/4822-winning-consortium-sau-lexploitation-du-minerai-de-fer-des-blocs-1-2-du-simandou-convention-de-base-2020.pdf" TargetMode="External" /><Relationship Id="rId1" Type="http://schemas.openxmlformats.org/officeDocument/2006/relationships/hyperlink" Target="https://www.contratsminiersguinee.org/contract/ocds-591adf-9254500989/view" TargetMode="External" /></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2.vml" /><Relationship Id="rId2" Type="http://schemas.openxmlformats.org/officeDocument/2006/relationships/drawing" Target="../drawings/drawing2.xml" /><Relationship Id="rId1" Type="http://schemas.openxmlformats.org/officeDocument/2006/relationships/printerSettings" Target="../printerSettings/printerSettings12.bin" /><Relationship Id="rId5" Type="http://schemas.openxmlformats.org/officeDocument/2006/relationships/image" Target="../media/image2.emf" /><Relationship Id="rId4" Type="http://schemas.openxmlformats.org/officeDocument/2006/relationships/oleObject" Target="../embeddings/oleObject1.bin" /></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xml" /><Relationship Id="rId1" Type="http://schemas.openxmlformats.org/officeDocument/2006/relationships/printerSettings" Target="../printerSettings/printerSettings13.bin" /></Relationships>
</file>

<file path=xl/worksheets/_rels/sheet34.xml.rels><?xml version="1.0" encoding="UTF-8" standalone="yes"?>
<Relationships xmlns="http://schemas.openxmlformats.org/package/2006/relationships"><Relationship Id="rId8" Type="http://schemas.openxmlformats.org/officeDocument/2006/relationships/hyperlink" Target="https://www.resourcecontracts.org/contract/ocds-591adf-9254500989/view" TargetMode="External" /><Relationship Id="rId13" Type="http://schemas.openxmlformats.org/officeDocument/2006/relationships/hyperlink" Target="https://www.resourcecontracts.org/contract/ocds-591adf-8055683009/view" TargetMode="External" /><Relationship Id="rId18" Type="http://schemas.openxmlformats.org/officeDocument/2006/relationships/hyperlink" Target="https://www.resourcecontracts.org/contract/ocds-591adf-9254500989/view" TargetMode="External" /><Relationship Id="rId3" Type="http://schemas.openxmlformats.org/officeDocument/2006/relationships/hyperlink" Target="https://www.resourcecontracts.org/contract/ocds-591adf-5043080054/view" TargetMode="External" /><Relationship Id="rId7" Type="http://schemas.openxmlformats.org/officeDocument/2006/relationships/hyperlink" Target="https://www.resourcecontracts.org/contract/ocds-591adf-6177258678/view" TargetMode="External" /><Relationship Id="rId12" Type="http://schemas.openxmlformats.org/officeDocument/2006/relationships/hyperlink" Target="https://www.resourcecontracts.org/contract/ocds-591adf-9254500989/view" TargetMode="External" /><Relationship Id="rId17" Type="http://schemas.openxmlformats.org/officeDocument/2006/relationships/hyperlink" Target="https://www.resourcecontracts.org/contract/ocds-591adf-4998313193/view" TargetMode="External" /><Relationship Id="rId2" Type="http://schemas.openxmlformats.org/officeDocument/2006/relationships/hyperlink" Target="https://www.resourcecontracts.org/contract/ocds-591adf-9254500989/view" TargetMode="External" /><Relationship Id="rId16" Type="http://schemas.openxmlformats.org/officeDocument/2006/relationships/hyperlink" Target="https://www.resourcecontracts.org/contract/ocds-591adf-9254500989/view" TargetMode="External" /><Relationship Id="rId1" Type="http://schemas.openxmlformats.org/officeDocument/2006/relationships/hyperlink" Target="https://www.resourcecontracts.org/contract/ocds-591adf-9254500989/view" TargetMode="External" /><Relationship Id="rId6" Type="http://schemas.openxmlformats.org/officeDocument/2006/relationships/hyperlink" Target="https://www.resourcecontracts.org/contract/ocds-591adf-9254500989/view" TargetMode="External" /><Relationship Id="rId11" Type="http://schemas.openxmlformats.org/officeDocument/2006/relationships/hyperlink" Target="https://www.resourcecontracts.org/contract/ocds-591adf-0789497252/view" TargetMode="External" /><Relationship Id="rId5" Type="http://schemas.openxmlformats.org/officeDocument/2006/relationships/hyperlink" Target="https://www.resourcecontracts.org/contract/ocds-591adf-0641239644/view" TargetMode="External" /><Relationship Id="rId15" Type="http://schemas.openxmlformats.org/officeDocument/2006/relationships/hyperlink" Target="https://www.resourcecontracts.org/contract/ocds-591adf-2095504636/view" TargetMode="External" /><Relationship Id="rId10" Type="http://schemas.openxmlformats.org/officeDocument/2006/relationships/hyperlink" Target="https://www.resourcecontracts.org/contract/ocds-591adf-9254500989/view" TargetMode="External" /><Relationship Id="rId19" Type="http://schemas.openxmlformats.org/officeDocument/2006/relationships/hyperlink" Target="https://www.resourcecontracts.org/contract/ocds-591adf-7227443979/view" TargetMode="External" /><Relationship Id="rId4" Type="http://schemas.openxmlformats.org/officeDocument/2006/relationships/hyperlink" Target="https://www.resourcecontracts.org/contract/ocds-591adf-9254500989/view" TargetMode="External" /><Relationship Id="rId9" Type="http://schemas.openxmlformats.org/officeDocument/2006/relationships/hyperlink" Target="https://www.resourcecontracts.org/contract/ocds-591adf-2995983040/view" TargetMode="External" /><Relationship Id="rId14" Type="http://schemas.openxmlformats.org/officeDocument/2006/relationships/hyperlink" Target="https://www.resourcecontracts.org/contract/ocds-591adf-9254500989/view" TargetMode="External" /></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4.xml" /><Relationship Id="rId1" Type="http://schemas.openxmlformats.org/officeDocument/2006/relationships/hyperlink" Target="https://soguipami.net/wp-content/uploads/2022/02/RAPPORT-General-et-rapports-speciaux-du-commissaire-aux-comptes.pdf" TargetMode="External" /></Relationships>
</file>

<file path=xl/worksheets/_rels/sheet36.xml.rels><?xml version="1.0" encoding="UTF-8" standalone="yes"?>
<Relationships xmlns="http://schemas.openxmlformats.org/package/2006/relationships"><Relationship Id="rId3" Type="http://schemas.openxmlformats.org/officeDocument/2006/relationships/package" Target="../embeddings/Microsoft_Excel_Worksheet1.xlsx" /><Relationship Id="rId2" Type="http://schemas.openxmlformats.org/officeDocument/2006/relationships/vmlDrawing" Target="../drawings/vmlDrawing3.vml" /><Relationship Id="rId1" Type="http://schemas.openxmlformats.org/officeDocument/2006/relationships/drawing" Target="../drawings/drawing5.xml" /><Relationship Id="rId4" Type="http://schemas.openxmlformats.org/officeDocument/2006/relationships/image" Target="../media/image4.emf" /></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639DA-656E-416E-9466-3B38E8C3F0B4}">
  <dimension ref="B3:B25"/>
  <sheetViews>
    <sheetView showGridLines="0" zoomScale="85" zoomScaleNormal="85" workbookViewId="0">
      <selection activeCell="B5" sqref="B5"/>
    </sheetView>
  </sheetViews>
  <sheetFormatPr defaultColWidth="11.43359375" defaultRowHeight="17.25" x14ac:dyDescent="0.25"/>
  <cols>
    <col min="1" max="16384" width="11.43359375" style="290"/>
  </cols>
  <sheetData>
    <row r="3" spans="2:2" ht="15.75" x14ac:dyDescent="0.2">
      <c r="B3" s="291" t="s">
        <v>0</v>
      </c>
    </row>
    <row r="4" spans="2:2" ht="15.75" x14ac:dyDescent="0.2">
      <c r="B4" s="291" t="s">
        <v>1</v>
      </c>
    </row>
    <row r="5" spans="2:2" ht="15.75" x14ac:dyDescent="0.2">
      <c r="B5" s="291" t="s">
        <v>5064</v>
      </c>
    </row>
    <row r="6" spans="2:2" ht="15.75" x14ac:dyDescent="0.2">
      <c r="B6" s="291" t="s">
        <v>2</v>
      </c>
    </row>
    <row r="7" spans="2:2" ht="15.75" x14ac:dyDescent="0.2">
      <c r="B7" s="291" t="s">
        <v>3</v>
      </c>
    </row>
    <row r="8" spans="2:2" ht="15.75" x14ac:dyDescent="0.2">
      <c r="B8" s="291" t="s">
        <v>4</v>
      </c>
    </row>
    <row r="9" spans="2:2" ht="15.75" x14ac:dyDescent="0.2">
      <c r="B9" s="291" t="s">
        <v>5</v>
      </c>
    </row>
    <row r="10" spans="2:2" ht="15.75" x14ac:dyDescent="0.2">
      <c r="B10" s="291" t="s">
        <v>6</v>
      </c>
    </row>
    <row r="11" spans="2:2" ht="15.75" x14ac:dyDescent="0.2">
      <c r="B11" s="291" t="s">
        <v>7</v>
      </c>
    </row>
    <row r="12" spans="2:2" ht="15.75" x14ac:dyDescent="0.2">
      <c r="B12" s="291" t="s">
        <v>8</v>
      </c>
    </row>
    <row r="13" spans="2:2" ht="15.75" x14ac:dyDescent="0.2">
      <c r="B13" s="291" t="s">
        <v>9</v>
      </c>
    </row>
    <row r="14" spans="2:2" ht="15.75" x14ac:dyDescent="0.2">
      <c r="B14" s="291" t="s">
        <v>10</v>
      </c>
    </row>
    <row r="15" spans="2:2" ht="15.75" x14ac:dyDescent="0.2">
      <c r="B15" s="291" t="s">
        <v>11</v>
      </c>
    </row>
    <row r="16" spans="2:2" ht="15.75" x14ac:dyDescent="0.2">
      <c r="B16" s="291" t="s">
        <v>12</v>
      </c>
    </row>
    <row r="17" spans="2:2" ht="15.75" x14ac:dyDescent="0.2">
      <c r="B17" s="291" t="s">
        <v>13</v>
      </c>
    </row>
    <row r="18" spans="2:2" ht="15.75" x14ac:dyDescent="0.2">
      <c r="B18" s="291" t="s">
        <v>14</v>
      </c>
    </row>
    <row r="19" spans="2:2" ht="15.75" x14ac:dyDescent="0.2">
      <c r="B19" s="291" t="s">
        <v>15</v>
      </c>
    </row>
    <row r="20" spans="2:2" ht="15.75" x14ac:dyDescent="0.2">
      <c r="B20" s="291" t="s">
        <v>16</v>
      </c>
    </row>
    <row r="21" spans="2:2" ht="15.75" x14ac:dyDescent="0.2">
      <c r="B21" s="291" t="s">
        <v>17</v>
      </c>
    </row>
    <row r="22" spans="2:2" ht="15.75" x14ac:dyDescent="0.2">
      <c r="B22" s="291" t="s">
        <v>18</v>
      </c>
    </row>
    <row r="23" spans="2:2" ht="15.75" x14ac:dyDescent="0.2">
      <c r="B23" s="291" t="s">
        <v>19</v>
      </c>
    </row>
    <row r="24" spans="2:2" ht="15.75" x14ac:dyDescent="0.2">
      <c r="B24" s="291" t="s">
        <v>20</v>
      </c>
    </row>
    <row r="25" spans="2:2" ht="15.75" x14ac:dyDescent="0.2">
      <c r="B25" s="291" t="s">
        <v>5065</v>
      </c>
    </row>
  </sheetData>
  <hyperlinks>
    <hyperlink ref="B3" location="'1'!A1" display="Annexe 1 - Profil des sociétés retenues dans le périmètre de rapprochement" xr:uid="{7F2ED602-BBEE-439E-9C81-49D16CD33C55}"/>
    <hyperlink ref="B4" location="'2'!A1" display="Annexe 2 - Sociétés retenues pour une déclaration unilatérale" xr:uid="{5A73053D-FEE8-4CF1-9F1B-E448CAC94468}"/>
    <hyperlink ref="B5" location="'3'!A1" display="Annexe 3 - Structure de capital et propriété réelle des sociétés retenues dans le périmètre de rapprochement" xr:uid="{7D62411F-C1B7-40D6-882E-880AEC16BC3D}"/>
    <hyperlink ref="B6" location="'4'!A1" display="Annexe 4 – Fiabilisation des déclarations" xr:uid="{A90AD09F-249A-4AF5-BE44-7BFDF4534103}"/>
    <hyperlink ref="B7" location="'5'!A1" display="Annexe 5 – Effectif des employé" xr:uid="{FAA39282-E6D2-4239-8339-7FFA5E34CFEB}"/>
    <hyperlink ref="B8" location="'6'!A1" display="Annexe 6 – Paiements sociaux obligatoires" xr:uid="{4B769ACC-9B09-448D-829E-45509A805FF5}"/>
    <hyperlink ref="B9" location="'7'!A1" display="Annexe 7 – Paiements sociaux volontaires" xr:uid="{267AE6BD-C3E6-44CA-BF1D-7204EE47B120}"/>
    <hyperlink ref="B10" location="'8'!A1" display="Annexe 8 – Répertoire des titres miniers" xr:uid="{017FC593-7F50-44F1-939E-4E98D00DE552}"/>
    <hyperlink ref="B11" location="'9'!A1" display="Annexe 9 – Etat des permis octroyés, renouvelés et retirés en 2021 " xr:uid="{CB1B24E5-863E-4997-848E-AC52C83C6FB0}"/>
    <hyperlink ref="B12" location="'10'!A1" display="Annexe 10 – Fiche de conciliation par société" xr:uid="{82E58FC5-252D-4FBE-A385-5E738414F457}"/>
    <hyperlink ref="B13" location="'11'!A1" display="Annexe 11 – Détail des revenus budgétaires par société extractive" xr:uid="{05C0CCD0-7BFB-492C-A285-EDF715C870E5}"/>
    <hyperlink ref="B14" location="'12'!A1" display="Annexe 12 – Détail des revenus budgétaires par flux de paiement" xr:uid="{3B67E17E-81E3-45B4-A0CD-F6E68F060269}"/>
    <hyperlink ref="B15" location="'13'!A1" display="Annexe 13 – Détail des paiements des entreprises par société extractive" xr:uid="{ED67941A-7DA3-4B8D-99BF-AE1B2D13ABA3}"/>
    <hyperlink ref="B16" location="'14'!A1" display="Annexe 14 – Détail des paiements des entreprises par flux de paiement" xr:uid="{B9EC54BB-019A-4234-9521-E80888AFFDA5}"/>
    <hyperlink ref="B17" location="'15'!A1" display="Annexe 15 – Formulaire de déclaration 2021" xr:uid="{BAF4BED5-6AFC-41AC-AD2B-8F6D650A6F84}"/>
    <hyperlink ref="B18" location="'16'!A1" display="Annexe 16 – Définition des flux de paiement" xr:uid="{02FE166B-F1CB-41DA-A5FF-84E43E007E3C}"/>
    <hyperlink ref="B19" location="'17'!A1" display="Annexe 17 – Répartition théorique des revenus miniers locaux par collectivités" xr:uid="{7991B31A-BF9F-498C-AC15-61BFE29BA6EA}"/>
    <hyperlink ref="B20" location="'18'!A1" display="Annexe 18 – Etat détaillé des contrats miniers publiés" xr:uid="{FB164445-1760-4BEB-9D25-D063FBC55A84}"/>
    <hyperlink ref="B21" location="'19'!A1" display="Annexe 19 – Lette d’affirmation CPDM" xr:uid="{5FCDA09C-D118-4DFD-AD8F-DEF20071D72D}"/>
    <hyperlink ref="B22" location="'20'!A1" display="Annexe 20 – Justificatifs des paiements Winning Consortium" xr:uid="{A199BDB1-EF75-43FB-BBD9-B173C97A10BB}"/>
    <hyperlink ref="B23" location="'21'!A1" display="Annexe 21 – Recensement des principales dispositions des convention minières récentes" xr:uid="{D530161F-9152-4EA8-99E4-CDD5805A07D5}"/>
    <hyperlink ref="B24" location="'22'!A1" display="Annexe 21 – Processus d’évaluation des risques par entité publique" xr:uid="{08F08523-96DC-4542-BCC4-E887EECAC0FB}"/>
    <hyperlink ref="B25" location="'22'!A1" display="Annexe 21 – Processus d’évaluation des risques par entité publique" xr:uid="{6B967F33-D4AA-4717-ACA4-D9E2C6A402B4}"/>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36F7B-17AD-4EEB-A351-F5A21EC9CFE0}">
  <dimension ref="B2:O311"/>
  <sheetViews>
    <sheetView showGridLines="0" zoomScale="85" zoomScaleNormal="85" workbookViewId="0">
      <selection activeCell="M14" sqref="M14"/>
    </sheetView>
  </sheetViews>
  <sheetFormatPr defaultColWidth="11.43359375" defaultRowHeight="15" x14ac:dyDescent="0.2"/>
  <cols>
    <col min="1" max="1" width="4.4375" customWidth="1"/>
    <col min="9" max="9" width="13.046875" customWidth="1"/>
    <col min="10" max="10" width="12.375" customWidth="1"/>
    <col min="13" max="13" width="44.390625" customWidth="1"/>
  </cols>
  <sheetData>
    <row r="2" spans="2:13" x14ac:dyDescent="0.2">
      <c r="B2" s="3" t="s">
        <v>2880</v>
      </c>
    </row>
    <row r="3" spans="2:13" x14ac:dyDescent="0.2">
      <c r="B3" s="204"/>
      <c r="C3" s="204"/>
      <c r="D3" s="204"/>
      <c r="E3" s="204"/>
      <c r="F3" s="204"/>
      <c r="G3" s="204"/>
      <c r="H3" s="204"/>
      <c r="I3" s="204"/>
      <c r="J3" s="204"/>
      <c r="K3" s="204"/>
    </row>
    <row r="4" spans="2:13" x14ac:dyDescent="0.2">
      <c r="B4" s="205" t="s">
        <v>2881</v>
      </c>
    </row>
    <row r="5" spans="2:13" ht="46.5" x14ac:dyDescent="0.2">
      <c r="B5" s="206" t="s">
        <v>1552</v>
      </c>
      <c r="C5" s="206" t="s">
        <v>2882</v>
      </c>
      <c r="D5" s="206" t="s">
        <v>2883</v>
      </c>
      <c r="E5" s="206" t="s">
        <v>1555</v>
      </c>
      <c r="F5" s="206" t="s">
        <v>1556</v>
      </c>
      <c r="G5" s="206" t="s">
        <v>750</v>
      </c>
      <c r="H5" s="206" t="s">
        <v>1561</v>
      </c>
      <c r="I5" s="206" t="s">
        <v>1558</v>
      </c>
      <c r="J5" s="206" t="s">
        <v>1559</v>
      </c>
      <c r="K5" s="206" t="s">
        <v>1560</v>
      </c>
      <c r="L5" s="206" t="s">
        <v>1562</v>
      </c>
      <c r="M5" s="206" t="s">
        <v>1563</v>
      </c>
    </row>
    <row r="6" spans="2:13" x14ac:dyDescent="0.2">
      <c r="B6" s="207" t="str">
        <f>"22808"</f>
        <v>22808</v>
      </c>
      <c r="C6" s="208" t="s">
        <v>2884</v>
      </c>
      <c r="D6" s="209" t="str">
        <f>"D2021/062/PRG/SGG"</f>
        <v>D2021/062/PRG/SGG</v>
      </c>
      <c r="E6" s="210" t="s">
        <v>124</v>
      </c>
      <c r="F6" s="209" t="s">
        <v>644</v>
      </c>
      <c r="G6" s="209" t="s">
        <v>1565</v>
      </c>
      <c r="H6" s="211">
        <v>43823</v>
      </c>
      <c r="I6" s="212">
        <v>43830.496145833335</v>
      </c>
      <c r="J6" s="211">
        <v>44249</v>
      </c>
      <c r="K6" s="211">
        <v>46074</v>
      </c>
      <c r="L6" s="209" t="s">
        <v>2885</v>
      </c>
      <c r="M6" s="213" t="str">
        <f>"Siguiri"</f>
        <v>Siguiri</v>
      </c>
    </row>
    <row r="7" spans="2:13" x14ac:dyDescent="0.2">
      <c r="B7" s="207" t="str">
        <f>"22966"</f>
        <v>22966</v>
      </c>
      <c r="C7" s="208" t="s">
        <v>1598</v>
      </c>
      <c r="D7" s="209" t="str">
        <f>"D2021/061/PRG/SGG"</f>
        <v>D2021/061/PRG/SGG</v>
      </c>
      <c r="E7" s="210" t="s">
        <v>124</v>
      </c>
      <c r="F7" s="209" t="s">
        <v>644</v>
      </c>
      <c r="G7" s="209" t="s">
        <v>1565</v>
      </c>
      <c r="H7" s="211">
        <v>43985</v>
      </c>
      <c r="I7" s="212">
        <v>44048.460706018515</v>
      </c>
      <c r="J7" s="211">
        <v>44249</v>
      </c>
      <c r="K7" s="211">
        <v>46074</v>
      </c>
      <c r="L7" s="209" t="s">
        <v>2886</v>
      </c>
      <c r="M7" s="213" t="str">
        <f>"Mandiana"</f>
        <v>Mandiana</v>
      </c>
    </row>
    <row r="8" spans="2:13" x14ac:dyDescent="0.2">
      <c r="B8" s="207" t="str">
        <f>"22967"</f>
        <v>22967</v>
      </c>
      <c r="C8" s="208" t="s">
        <v>1796</v>
      </c>
      <c r="D8" s="209" t="str">
        <f>"A2021/847/MMG/SGG"</f>
        <v>A2021/847/MMG/SGG</v>
      </c>
      <c r="E8" s="210" t="s">
        <v>1794</v>
      </c>
      <c r="F8" s="209" t="s">
        <v>1594</v>
      </c>
      <c r="G8" s="209" t="s">
        <v>1565</v>
      </c>
      <c r="H8" s="211">
        <v>44036</v>
      </c>
      <c r="I8" s="212">
        <v>44055.538634259261</v>
      </c>
      <c r="J8" s="211">
        <v>44315</v>
      </c>
      <c r="K8" s="211">
        <v>45410</v>
      </c>
      <c r="L8" s="209" t="s">
        <v>2887</v>
      </c>
      <c r="M8" s="213" t="str">
        <f>"Kerouane"</f>
        <v>Kerouane</v>
      </c>
    </row>
    <row r="9" spans="2:13" x14ac:dyDescent="0.2">
      <c r="B9" s="207" t="str">
        <f>"22972"</f>
        <v>22972</v>
      </c>
      <c r="C9" s="208" t="s">
        <v>1928</v>
      </c>
      <c r="D9" s="209" t="str">
        <f>"A2021/137/MMG/SGG"</f>
        <v>A2021/137/MMG/SGG</v>
      </c>
      <c r="E9" s="210" t="s">
        <v>154</v>
      </c>
      <c r="F9" s="209" t="s">
        <v>644</v>
      </c>
      <c r="G9" s="209" t="s">
        <v>1565</v>
      </c>
      <c r="H9" s="211">
        <v>44021</v>
      </c>
      <c r="I9" s="212">
        <v>44060.625625000001</v>
      </c>
      <c r="J9" s="211">
        <v>44243</v>
      </c>
      <c r="K9" s="211">
        <v>45337</v>
      </c>
      <c r="L9" s="209" t="s">
        <v>2888</v>
      </c>
      <c r="M9" s="213" t="str">
        <f>"Siguiri"</f>
        <v>Siguiri</v>
      </c>
    </row>
    <row r="10" spans="2:13" x14ac:dyDescent="0.2">
      <c r="B10" s="207" t="str">
        <f>"23028"</f>
        <v>23028</v>
      </c>
      <c r="C10" s="208" t="s">
        <v>1955</v>
      </c>
      <c r="D10" s="209" t="str">
        <f>"A2021/021/MMG/SGG"</f>
        <v>A2021/021/MMG/SGG</v>
      </c>
      <c r="E10" s="210" t="s">
        <v>78</v>
      </c>
      <c r="F10" s="209" t="s">
        <v>1781</v>
      </c>
      <c r="G10" s="209" t="s">
        <v>1565</v>
      </c>
      <c r="H10" s="211">
        <v>44067</v>
      </c>
      <c r="I10" s="212">
        <v>44189.719039351854</v>
      </c>
      <c r="J10" s="211">
        <v>44208</v>
      </c>
      <c r="K10" s="211">
        <v>44937</v>
      </c>
      <c r="L10" s="209" t="s">
        <v>1956</v>
      </c>
      <c r="M10" s="213" t="str">
        <f>"Labe"</f>
        <v>Labe</v>
      </c>
    </row>
    <row r="11" spans="2:13" x14ac:dyDescent="0.2">
      <c r="B11" s="207" t="str">
        <f>"23029"</f>
        <v>23029</v>
      </c>
      <c r="C11" s="208" t="s">
        <v>1751</v>
      </c>
      <c r="D11" s="209" t="str">
        <f>"A2021/005/MMG/DNM"</f>
        <v>A2021/005/MMG/DNM</v>
      </c>
      <c r="E11" s="210" t="s">
        <v>85</v>
      </c>
      <c r="F11" s="209" t="s">
        <v>644</v>
      </c>
      <c r="G11" s="209" t="s">
        <v>1565</v>
      </c>
      <c r="H11" s="211">
        <v>44187</v>
      </c>
      <c r="I11" s="212">
        <v>44195.677824074075</v>
      </c>
      <c r="J11" s="211">
        <v>44201</v>
      </c>
      <c r="K11" s="211">
        <v>44381</v>
      </c>
      <c r="L11" s="209" t="s">
        <v>2889</v>
      </c>
      <c r="M11" s="213" t="str">
        <f>"Siguiri"</f>
        <v>Siguiri</v>
      </c>
    </row>
    <row r="12" spans="2:13" x14ac:dyDescent="0.2">
      <c r="B12" s="207" t="str">
        <f>"23030"</f>
        <v>23030</v>
      </c>
      <c r="C12" s="208" t="s">
        <v>1751</v>
      </c>
      <c r="D12" s="209" t="str">
        <f>"A2021/003/MMG/DNM"</f>
        <v>A2021/003/MMG/DNM</v>
      </c>
      <c r="E12" s="210" t="s">
        <v>85</v>
      </c>
      <c r="F12" s="209" t="s">
        <v>644</v>
      </c>
      <c r="G12" s="209" t="s">
        <v>1565</v>
      </c>
      <c r="H12" s="211">
        <v>44187</v>
      </c>
      <c r="I12" s="212">
        <v>44195.690717592595</v>
      </c>
      <c r="J12" s="211">
        <v>44201</v>
      </c>
      <c r="K12" s="211">
        <v>44381</v>
      </c>
      <c r="L12" s="209" t="s">
        <v>2890</v>
      </c>
      <c r="M12" s="213" t="str">
        <f>"Dinguiraye,Siguiri"</f>
        <v>Dinguiraye,Siguiri</v>
      </c>
    </row>
    <row r="13" spans="2:13" x14ac:dyDescent="0.2">
      <c r="B13" s="207" t="str">
        <f>"23031"</f>
        <v>23031</v>
      </c>
      <c r="C13" s="208" t="s">
        <v>1751</v>
      </c>
      <c r="D13" s="209" t="str">
        <f>"AUT N°2021/004/MMG/DNM"</f>
        <v>AUT N°2021/004/MMG/DNM</v>
      </c>
      <c r="E13" s="210" t="s">
        <v>85</v>
      </c>
      <c r="F13" s="209" t="s">
        <v>644</v>
      </c>
      <c r="G13" s="209" t="s">
        <v>1565</v>
      </c>
      <c r="H13" s="211">
        <v>44187</v>
      </c>
      <c r="I13" s="212">
        <v>44195.699282407404</v>
      </c>
      <c r="J13" s="211">
        <v>44201</v>
      </c>
      <c r="K13" s="211">
        <v>44381</v>
      </c>
      <c r="L13" s="209" t="s">
        <v>2891</v>
      </c>
      <c r="M13" s="213" t="str">
        <f>"Siguiri"</f>
        <v>Siguiri</v>
      </c>
    </row>
    <row r="14" spans="2:13" x14ac:dyDescent="0.2">
      <c r="B14" s="207" t="str">
        <f>"23032"</f>
        <v>23032</v>
      </c>
      <c r="C14" s="208" t="s">
        <v>1957</v>
      </c>
      <c r="D14" s="209" t="str">
        <f>"A2021/020/MMG/SGG"</f>
        <v>A2021/020/MMG/SGG</v>
      </c>
      <c r="E14" s="210" t="s">
        <v>254</v>
      </c>
      <c r="F14" s="209" t="s">
        <v>1568</v>
      </c>
      <c r="G14" s="209" t="s">
        <v>1565</v>
      </c>
      <c r="H14" s="211">
        <v>44195</v>
      </c>
      <c r="I14" s="212">
        <v>44200.701319444444</v>
      </c>
      <c r="J14" s="211">
        <v>44208</v>
      </c>
      <c r="K14" s="211">
        <v>45302</v>
      </c>
      <c r="L14" s="209" t="s">
        <v>2892</v>
      </c>
      <c r="M14" s="213" t="str">
        <f>"Labe,Dalaba"</f>
        <v>Labe,Dalaba</v>
      </c>
    </row>
    <row r="15" spans="2:13" x14ac:dyDescent="0.2">
      <c r="B15" s="207" t="str">
        <f>"23034"</f>
        <v>23034</v>
      </c>
      <c r="C15" s="208" t="s">
        <v>1841</v>
      </c>
      <c r="D15" s="209" t="str">
        <f>"A2021/059/MMG/SGG"</f>
        <v>A2021/059/MMG/SGG</v>
      </c>
      <c r="E15" s="210" t="s">
        <v>78</v>
      </c>
      <c r="F15" s="209" t="s">
        <v>1769</v>
      </c>
      <c r="G15" s="209" t="s">
        <v>1565</v>
      </c>
      <c r="H15" s="211">
        <v>44159</v>
      </c>
      <c r="I15" s="212">
        <v>44202.454525462963</v>
      </c>
      <c r="J15" s="211">
        <v>44223</v>
      </c>
      <c r="K15" s="211">
        <v>44952</v>
      </c>
      <c r="L15" s="209" t="s">
        <v>1942</v>
      </c>
      <c r="M15" s="213" t="str">
        <f>"Dubreka"</f>
        <v>Dubreka</v>
      </c>
    </row>
    <row r="16" spans="2:13" x14ac:dyDescent="0.2">
      <c r="B16" s="207" t="str">
        <f>"23035"</f>
        <v>23035</v>
      </c>
      <c r="C16" s="208" t="s">
        <v>2648</v>
      </c>
      <c r="D16" s="209" t="str">
        <f>"A/2021/060/MMG/SGG"</f>
        <v>A/2021/060/MMG/SGG</v>
      </c>
      <c r="E16" s="210" t="s">
        <v>154</v>
      </c>
      <c r="F16" s="209" t="s">
        <v>644</v>
      </c>
      <c r="G16" s="209" t="s">
        <v>1565</v>
      </c>
      <c r="H16" s="211">
        <v>44200</v>
      </c>
      <c r="I16" s="212">
        <v>44202.489062499997</v>
      </c>
      <c r="J16" s="211">
        <v>44223</v>
      </c>
      <c r="K16" s="211">
        <v>45317</v>
      </c>
      <c r="L16" s="209" t="s">
        <v>2893</v>
      </c>
      <c r="M16" s="213" t="str">
        <f>"Guinee,Kankan,Mandiana,Faralako, Saladou"</f>
        <v>Guinee,Kankan,Mandiana,Faralako, Saladou</v>
      </c>
    </row>
    <row r="17" spans="2:13" x14ac:dyDescent="0.2">
      <c r="B17" s="207" t="str">
        <f>"23036"</f>
        <v>23036</v>
      </c>
      <c r="C17" s="208" t="s">
        <v>1928</v>
      </c>
      <c r="D17" s="209" t="str">
        <f>"A2021/136/MMG/SGG "</f>
        <v xml:space="preserve">A2021/136/MMG/SGG </v>
      </c>
      <c r="E17" s="210" t="s">
        <v>154</v>
      </c>
      <c r="F17" s="209" t="s">
        <v>644</v>
      </c>
      <c r="G17" s="209" t="s">
        <v>1565</v>
      </c>
      <c r="H17" s="211">
        <v>44183</v>
      </c>
      <c r="I17" s="212">
        <v>44207.468726851854</v>
      </c>
      <c r="J17" s="211">
        <v>44243</v>
      </c>
      <c r="K17" s="211">
        <v>45337</v>
      </c>
      <c r="L17" s="209" t="s">
        <v>2894</v>
      </c>
      <c r="M17" s="213" t="str">
        <f>"Guinee,Kankan,Siguiri,Siguiri-centre"</f>
        <v>Guinee,Kankan,Siguiri,Siguiri-centre</v>
      </c>
    </row>
    <row r="18" spans="2:13" x14ac:dyDescent="0.2">
      <c r="B18" s="207" t="str">
        <f>"23037"</f>
        <v>23037</v>
      </c>
      <c r="C18" s="208" t="s">
        <v>1928</v>
      </c>
      <c r="D18" s="209" t="str">
        <f>"A2021/137/MMG/SGG"</f>
        <v>A2021/137/MMG/SGG</v>
      </c>
      <c r="E18" s="210" t="s">
        <v>154</v>
      </c>
      <c r="F18" s="209" t="s">
        <v>644</v>
      </c>
      <c r="G18" s="209" t="s">
        <v>1565</v>
      </c>
      <c r="H18" s="211">
        <v>44183</v>
      </c>
      <c r="I18" s="212">
        <v>44207.491979166669</v>
      </c>
      <c r="J18" s="211">
        <v>44243</v>
      </c>
      <c r="K18" s="211">
        <v>45337</v>
      </c>
      <c r="L18" s="209" t="s">
        <v>2895</v>
      </c>
      <c r="M18" s="213" t="str">
        <f>"Guinee,Kankan,Siguiri,Doko"</f>
        <v>Guinee,Kankan,Siguiri,Doko</v>
      </c>
    </row>
    <row r="19" spans="2:13" x14ac:dyDescent="0.2">
      <c r="B19" s="207" t="str">
        <f>"23038"</f>
        <v>23038</v>
      </c>
      <c r="C19" s="208" t="s">
        <v>100</v>
      </c>
      <c r="D19" s="209" t="str">
        <f>"D2021/138/PRG/SGG"</f>
        <v>D2021/138/PRG/SGG</v>
      </c>
      <c r="E19" s="210" t="s">
        <v>72</v>
      </c>
      <c r="F19" s="209" t="s">
        <v>644</v>
      </c>
      <c r="G19" s="209" t="s">
        <v>1565</v>
      </c>
      <c r="H19" s="211">
        <v>44119</v>
      </c>
      <c r="I19" s="212">
        <v>44209.490231481483</v>
      </c>
      <c r="J19" s="211">
        <v>44334</v>
      </c>
      <c r="K19" s="211">
        <v>49812</v>
      </c>
      <c r="L19" s="209" t="s">
        <v>2896</v>
      </c>
      <c r="M19" s="213" t="str">
        <f>"Guinee,Kankan,Kouroussa,Kouroussa-centre"</f>
        <v>Guinee,Kankan,Kouroussa,Kouroussa-centre</v>
      </c>
    </row>
    <row r="20" spans="2:13" x14ac:dyDescent="0.2">
      <c r="B20" s="207" t="str">
        <f>"23039"</f>
        <v>23039</v>
      </c>
      <c r="C20" s="208" t="s">
        <v>100</v>
      </c>
      <c r="D20" s="209" t="str">
        <f>"D2021/139/PRG/SGG"</f>
        <v>D2021/139/PRG/SGG</v>
      </c>
      <c r="E20" s="210" t="s">
        <v>72</v>
      </c>
      <c r="F20" s="209" t="s">
        <v>644</v>
      </c>
      <c r="G20" s="209" t="s">
        <v>1565</v>
      </c>
      <c r="H20" s="211">
        <v>44119</v>
      </c>
      <c r="I20" s="212">
        <v>44209.554791666669</v>
      </c>
      <c r="J20" s="211">
        <v>44365</v>
      </c>
      <c r="K20" s="211">
        <v>49843</v>
      </c>
      <c r="L20" s="209" t="s">
        <v>2897</v>
      </c>
      <c r="M20" s="213" t="str">
        <f>"Guinee,Kankan,Kouroussa,Kouroussa-centre"</f>
        <v>Guinee,Kankan,Kouroussa,Kouroussa-centre</v>
      </c>
    </row>
    <row r="21" spans="2:13" x14ac:dyDescent="0.2">
      <c r="B21" s="207" t="str">
        <f>"23040"</f>
        <v>23040</v>
      </c>
      <c r="C21" s="208" t="s">
        <v>1593</v>
      </c>
      <c r="D21" s="209" t="str">
        <f>"D2021/080/PRG/SGG"</f>
        <v>D2021/080/PRG/SGG</v>
      </c>
      <c r="E21" s="210" t="s">
        <v>68</v>
      </c>
      <c r="F21" s="209" t="s">
        <v>1594</v>
      </c>
      <c r="G21" s="209" t="s">
        <v>1565</v>
      </c>
      <c r="H21" s="211">
        <v>44182</v>
      </c>
      <c r="I21" s="212">
        <v>44210.481469907405</v>
      </c>
      <c r="J21" s="211">
        <v>44270</v>
      </c>
      <c r="K21" s="211">
        <v>53400</v>
      </c>
      <c r="L21" s="209" t="s">
        <v>2898</v>
      </c>
      <c r="M21" s="213" t="str">
        <f>"Guinee,Kankan,Kerouane,Damaro, Kérouané-centre, Komodou, Konsankoro, Linko"</f>
        <v>Guinee,Kankan,Kerouane,Damaro, Kérouané-centre, Komodou, Konsankoro, Linko</v>
      </c>
    </row>
    <row r="22" spans="2:13" x14ac:dyDescent="0.2">
      <c r="B22" s="207" t="str">
        <f>"23041"</f>
        <v>23041</v>
      </c>
      <c r="C22" s="208" t="s">
        <v>1943</v>
      </c>
      <c r="D22" s="209" t="str">
        <f>"A2021/050/MMG/SGG"</f>
        <v>A2021/050/MMG/SGG</v>
      </c>
      <c r="E22" s="210" t="s">
        <v>154</v>
      </c>
      <c r="F22" s="209" t="s">
        <v>644</v>
      </c>
      <c r="G22" s="209" t="s">
        <v>1565</v>
      </c>
      <c r="H22" s="211">
        <v>44215</v>
      </c>
      <c r="I22" s="212">
        <v>44217.457337962966</v>
      </c>
      <c r="J22" s="211">
        <v>44218</v>
      </c>
      <c r="K22" s="211">
        <v>45312</v>
      </c>
      <c r="L22" s="209" t="s">
        <v>2899</v>
      </c>
      <c r="M22" s="213" t="str">
        <f>"Guinee,Kankan,Mandiana,Faralako, Saladou"</f>
        <v>Guinee,Kankan,Mandiana,Faralako, Saladou</v>
      </c>
    </row>
    <row r="23" spans="2:13" x14ac:dyDescent="0.2">
      <c r="B23" s="207" t="str">
        <f>"23042"</f>
        <v>23042</v>
      </c>
      <c r="C23" s="208" t="s">
        <v>1943</v>
      </c>
      <c r="D23" s="209" t="str">
        <f>"A2021/052/MMG/SGG"</f>
        <v>A2021/052/MMG/SGG</v>
      </c>
      <c r="E23" s="210" t="s">
        <v>154</v>
      </c>
      <c r="F23" s="209" t="s">
        <v>644</v>
      </c>
      <c r="G23" s="209" t="s">
        <v>1565</v>
      </c>
      <c r="H23" s="211">
        <v>44215</v>
      </c>
      <c r="I23" s="212">
        <v>44217.481145833335</v>
      </c>
      <c r="J23" s="211">
        <v>44218</v>
      </c>
      <c r="K23" s="211">
        <v>45312</v>
      </c>
      <c r="L23" s="209" t="s">
        <v>2900</v>
      </c>
      <c r="M23" s="213" t="str">
        <f>"Guinee,Kankan,Mandiana,Koundian, Sansando"</f>
        <v>Guinee,Kankan,Mandiana,Koundian, Sansando</v>
      </c>
    </row>
    <row r="24" spans="2:13" x14ac:dyDescent="0.2">
      <c r="B24" s="207" t="str">
        <f>"23043"</f>
        <v>23043</v>
      </c>
      <c r="C24" s="208" t="s">
        <v>1943</v>
      </c>
      <c r="D24" s="209" t="str">
        <f>"A2021/051/MMG/SGG"</f>
        <v>A2021/051/MMG/SGG</v>
      </c>
      <c r="E24" s="210" t="s">
        <v>154</v>
      </c>
      <c r="F24" s="209" t="s">
        <v>644</v>
      </c>
      <c r="G24" s="209" t="s">
        <v>1565</v>
      </c>
      <c r="H24" s="211">
        <v>44215</v>
      </c>
      <c r="I24" s="212">
        <v>44217.488692129627</v>
      </c>
      <c r="J24" s="211">
        <v>44218</v>
      </c>
      <c r="K24" s="211">
        <v>45312</v>
      </c>
      <c r="L24" s="209" t="s">
        <v>2901</v>
      </c>
      <c r="M24" s="213" t="str">
        <f>"Guinee,Kankan,Mandiana,Koundian"</f>
        <v>Guinee,Kankan,Mandiana,Koundian</v>
      </c>
    </row>
    <row r="25" spans="2:13" x14ac:dyDescent="0.2">
      <c r="B25" s="207" t="str">
        <f>"23044"</f>
        <v>23044</v>
      </c>
      <c r="C25" s="208" t="s">
        <v>1685</v>
      </c>
      <c r="D25" s="209" t="str">
        <f>"A/2021/134/MMG/SGG"</f>
        <v>A/2021/134/MMG/SGG</v>
      </c>
      <c r="E25" s="210" t="s">
        <v>154</v>
      </c>
      <c r="F25" s="209" t="s">
        <v>644</v>
      </c>
      <c r="G25" s="209" t="s">
        <v>1565</v>
      </c>
      <c r="H25" s="211">
        <v>44211</v>
      </c>
      <c r="I25" s="212">
        <v>44217.540752314817</v>
      </c>
      <c r="J25" s="211">
        <v>44243</v>
      </c>
      <c r="K25" s="211">
        <v>45337</v>
      </c>
      <c r="L25" s="209" t="s">
        <v>2902</v>
      </c>
      <c r="M25" s="213" t="str">
        <f>"Guinee,Kankan,Mandiana,Balandougouba"</f>
        <v>Guinee,Kankan,Mandiana,Balandougouba</v>
      </c>
    </row>
    <row r="26" spans="2:13" x14ac:dyDescent="0.2">
      <c r="B26" s="207" t="str">
        <f>"23046"</f>
        <v>23046</v>
      </c>
      <c r="C26" s="208" t="s">
        <v>1584</v>
      </c>
      <c r="D26" s="209" t="str">
        <f>"D2021/195/PRG/SGG"</f>
        <v>D2021/195/PRG/SGG</v>
      </c>
      <c r="E26" s="210" t="s">
        <v>124</v>
      </c>
      <c r="F26" s="209" t="s">
        <v>644</v>
      </c>
      <c r="G26" s="209" t="s">
        <v>1565</v>
      </c>
      <c r="H26" s="211">
        <v>44011</v>
      </c>
      <c r="I26" s="212">
        <v>44223.508472222224</v>
      </c>
      <c r="J26" s="211">
        <v>44355</v>
      </c>
      <c r="K26" s="211">
        <v>46180</v>
      </c>
      <c r="L26" s="209" t="s">
        <v>2903</v>
      </c>
      <c r="M26" s="213" t="str">
        <f>"Guinee,Kankan,Kouroussa,Komola-khoura, Sanguiana"</f>
        <v>Guinee,Kankan,Kouroussa,Komola-khoura, Sanguiana</v>
      </c>
    </row>
    <row r="27" spans="2:13" x14ac:dyDescent="0.2">
      <c r="B27" s="207" t="str">
        <f>"23048"</f>
        <v>23048</v>
      </c>
      <c r="C27" s="208" t="s">
        <v>1926</v>
      </c>
      <c r="D27" s="209" t="str">
        <f>"A2021/138/MMG/SGG"</f>
        <v>A2021/138/MMG/SGG</v>
      </c>
      <c r="E27" s="210" t="s">
        <v>154</v>
      </c>
      <c r="F27" s="209" t="s">
        <v>644</v>
      </c>
      <c r="G27" s="209" t="s">
        <v>1565</v>
      </c>
      <c r="H27" s="211">
        <v>44138</v>
      </c>
      <c r="I27" s="212">
        <v>44228.474618055552</v>
      </c>
      <c r="J27" s="211">
        <v>44243</v>
      </c>
      <c r="K27" s="211">
        <v>45337</v>
      </c>
      <c r="L27" s="209" t="s">
        <v>2904</v>
      </c>
      <c r="M27" s="213" t="str">
        <f>"Guinee,Kankan,Siguiri,Kintinian, Maléa"</f>
        <v>Guinee,Kankan,Siguiri,Kintinian, Maléa</v>
      </c>
    </row>
    <row r="28" spans="2:13" x14ac:dyDescent="0.2">
      <c r="B28" s="207" t="str">
        <f>"23050"</f>
        <v>23050</v>
      </c>
      <c r="C28" s="208" t="s">
        <v>355</v>
      </c>
      <c r="D28" s="209" t="str">
        <f>"A/2021/133/MMG/SGG"</f>
        <v>A/2021/133/MMG/SGG</v>
      </c>
      <c r="E28" s="210" t="s">
        <v>154</v>
      </c>
      <c r="F28" s="209" t="s">
        <v>644</v>
      </c>
      <c r="G28" s="209" t="s">
        <v>1565</v>
      </c>
      <c r="H28" s="211">
        <v>44194</v>
      </c>
      <c r="I28" s="212">
        <v>44229.642175925925</v>
      </c>
      <c r="J28" s="211">
        <v>44243</v>
      </c>
      <c r="K28" s="211">
        <v>45337</v>
      </c>
      <c r="L28" s="209" t="s">
        <v>2905</v>
      </c>
      <c r="M28" s="213" t="str">
        <f>"Guinee,Kankan,Siguiri,Franwalia, Kintinian, Niagassola"</f>
        <v>Guinee,Kankan,Siguiri,Franwalia, Kintinian, Niagassola</v>
      </c>
    </row>
    <row r="29" spans="2:13" x14ac:dyDescent="0.2">
      <c r="B29" s="207" t="str">
        <f>"23051"</f>
        <v>23051</v>
      </c>
      <c r="C29" s="208" t="s">
        <v>2642</v>
      </c>
      <c r="D29" s="209" t="str">
        <f>"A/2021/135/MMG/SGG"</f>
        <v>A/2021/135/MMG/SGG</v>
      </c>
      <c r="E29" s="210" t="s">
        <v>154</v>
      </c>
      <c r="F29" s="209" t="s">
        <v>644</v>
      </c>
      <c r="G29" s="209" t="s">
        <v>1565</v>
      </c>
      <c r="H29" s="211">
        <v>44223</v>
      </c>
      <c r="I29" s="212">
        <v>44231.622037037036</v>
      </c>
      <c r="J29" s="211">
        <v>44243</v>
      </c>
      <c r="K29" s="211">
        <v>45337</v>
      </c>
      <c r="L29" s="209" t="s">
        <v>2906</v>
      </c>
      <c r="M29" s="213" t="str">
        <f>"Guinee,Kankan,Siguiri,Niagassola"</f>
        <v>Guinee,Kankan,Siguiri,Niagassola</v>
      </c>
    </row>
    <row r="30" spans="2:13" x14ac:dyDescent="0.2">
      <c r="B30" s="207" t="str">
        <f>"23052"</f>
        <v>23052</v>
      </c>
      <c r="C30" s="208" t="s">
        <v>2636</v>
      </c>
      <c r="D30" s="209" t="str">
        <f>"A/2021/220/MMG/SGG"</f>
        <v>A/2021/220/MMG/SGG</v>
      </c>
      <c r="E30" s="210" t="s">
        <v>154</v>
      </c>
      <c r="F30" s="209" t="s">
        <v>644</v>
      </c>
      <c r="G30" s="209" t="s">
        <v>1565</v>
      </c>
      <c r="H30" s="211">
        <v>44228</v>
      </c>
      <c r="I30" s="212">
        <v>44232.520682870374</v>
      </c>
      <c r="J30" s="211">
        <v>44258</v>
      </c>
      <c r="K30" s="211">
        <v>45353</v>
      </c>
      <c r="L30" s="209" t="s">
        <v>2907</v>
      </c>
      <c r="M30" s="213" t="str">
        <f>"Guinee,Kankan,Mandiana,Balandougouba, Koundianakoro"</f>
        <v>Guinee,Kankan,Mandiana,Balandougouba, Koundianakoro</v>
      </c>
    </row>
    <row r="31" spans="2:13" x14ac:dyDescent="0.2">
      <c r="B31" s="207" t="str">
        <f>"23053"</f>
        <v>23053</v>
      </c>
      <c r="C31" s="208" t="s">
        <v>2636</v>
      </c>
      <c r="D31" s="209" t="str">
        <f>"A/2021/217/MMG/SGG"</f>
        <v>A/2021/217/MMG/SGG</v>
      </c>
      <c r="E31" s="210" t="s">
        <v>154</v>
      </c>
      <c r="F31" s="209" t="s">
        <v>644</v>
      </c>
      <c r="G31" s="209" t="s">
        <v>1565</v>
      </c>
      <c r="H31" s="211">
        <v>44228</v>
      </c>
      <c r="I31" s="212">
        <v>44232.549432870372</v>
      </c>
      <c r="J31" s="211">
        <v>44258</v>
      </c>
      <c r="K31" s="211">
        <v>45353</v>
      </c>
      <c r="L31" s="209" t="s">
        <v>2908</v>
      </c>
      <c r="M31" s="213" t="str">
        <f>"Guinee,Kankan,Mandiana,Balandougouba"</f>
        <v>Guinee,Kankan,Mandiana,Balandougouba</v>
      </c>
    </row>
    <row r="32" spans="2:13" x14ac:dyDescent="0.2">
      <c r="B32" s="207" t="str">
        <f>"23054"</f>
        <v>23054</v>
      </c>
      <c r="C32" s="208" t="s">
        <v>1847</v>
      </c>
      <c r="D32" s="209" t="str">
        <f>"A/2021/221/MMG/SGG"</f>
        <v>A/2021/221/MMG/SGG</v>
      </c>
      <c r="E32" s="210" t="s">
        <v>154</v>
      </c>
      <c r="F32" s="209" t="s">
        <v>644</v>
      </c>
      <c r="G32" s="209" t="s">
        <v>1565</v>
      </c>
      <c r="H32" s="211">
        <v>44215</v>
      </c>
      <c r="I32" s="212">
        <v>44236.390613425923</v>
      </c>
      <c r="J32" s="211">
        <v>44258</v>
      </c>
      <c r="K32" s="211">
        <v>45353</v>
      </c>
      <c r="L32" s="209" t="s">
        <v>2909</v>
      </c>
      <c r="M32" s="213" t="str">
        <f>"Guinee,Kankan,Kankan,Gbérédou-Barana, Koumban; Kouroussa,Baro, Kiniéro"</f>
        <v>Guinee,Kankan,Kankan,Gbérédou-Barana, Koumban; Kouroussa,Baro, Kiniéro</v>
      </c>
    </row>
    <row r="33" spans="2:13" x14ac:dyDescent="0.2">
      <c r="B33" s="207" t="str">
        <f>"23055"</f>
        <v>23055</v>
      </c>
      <c r="C33" s="208" t="s">
        <v>1847</v>
      </c>
      <c r="D33" s="209" t="str">
        <f>"A/2021/218/MMG/SGG"</f>
        <v>A/2021/218/MMG/SGG</v>
      </c>
      <c r="E33" s="210" t="s">
        <v>154</v>
      </c>
      <c r="F33" s="209" t="s">
        <v>644</v>
      </c>
      <c r="G33" s="209" t="s">
        <v>1565</v>
      </c>
      <c r="H33" s="211">
        <v>44215</v>
      </c>
      <c r="I33" s="212">
        <v>44236.438252314816</v>
      </c>
      <c r="J33" s="211">
        <v>44258</v>
      </c>
      <c r="K33" s="211">
        <v>45353</v>
      </c>
      <c r="L33" s="209" t="s">
        <v>2910</v>
      </c>
      <c r="M33" s="213" t="str">
        <f>"Guinee,Kankan,Kankan,Koumban; Kouroussa,Banfelé, Baro"</f>
        <v>Guinee,Kankan,Kankan,Koumban; Kouroussa,Banfelé, Baro</v>
      </c>
    </row>
    <row r="34" spans="2:13" x14ac:dyDescent="0.2">
      <c r="B34" s="207" t="str">
        <f>"23056"</f>
        <v>23056</v>
      </c>
      <c r="C34" s="208" t="s">
        <v>1847</v>
      </c>
      <c r="D34" s="209" t="str">
        <f>"A2021/572/MMG/SGG"</f>
        <v>A2021/572/MMG/SGG</v>
      </c>
      <c r="E34" s="210" t="s">
        <v>154</v>
      </c>
      <c r="F34" s="209" t="s">
        <v>644</v>
      </c>
      <c r="G34" s="209" t="s">
        <v>1565</v>
      </c>
      <c r="H34" s="211">
        <v>44215</v>
      </c>
      <c r="I34" s="212">
        <v>44236.452256944445</v>
      </c>
      <c r="J34" s="211">
        <v>44288</v>
      </c>
      <c r="K34" s="211">
        <v>45383</v>
      </c>
      <c r="L34" s="209" t="s">
        <v>2911</v>
      </c>
      <c r="M34" s="213" t="str">
        <f>"Guinee,Kankan,Kankan,Gbérédou-Barana; Kouroussa,Baro"</f>
        <v>Guinee,Kankan,Kankan,Gbérédou-Barana; Kouroussa,Baro</v>
      </c>
    </row>
    <row r="35" spans="2:13" x14ac:dyDescent="0.2">
      <c r="B35" s="207" t="str">
        <f>"23057"</f>
        <v>23057</v>
      </c>
      <c r="C35" s="208" t="s">
        <v>2629</v>
      </c>
      <c r="D35" s="209" t="str">
        <f>"A/2021/222/MMG/SGG"</f>
        <v>A/2021/222/MMG/SGG</v>
      </c>
      <c r="E35" s="210" t="s">
        <v>154</v>
      </c>
      <c r="F35" s="209" t="s">
        <v>644</v>
      </c>
      <c r="G35" s="209" t="s">
        <v>1565</v>
      </c>
      <c r="H35" s="211">
        <v>44215</v>
      </c>
      <c r="I35" s="212">
        <v>44236.472013888888</v>
      </c>
      <c r="J35" s="211">
        <v>44258</v>
      </c>
      <c r="K35" s="211">
        <v>45353</v>
      </c>
      <c r="L35" s="209" t="s">
        <v>2912</v>
      </c>
      <c r="M35" s="213" t="str">
        <f>"Guinee,Kankan,Kouroussa,Kouroussa-centre, Sanguiana"</f>
        <v>Guinee,Kankan,Kouroussa,Kouroussa-centre, Sanguiana</v>
      </c>
    </row>
    <row r="36" spans="2:13" x14ac:dyDescent="0.2">
      <c r="B36" s="207" t="str">
        <f>"23058"</f>
        <v>23058</v>
      </c>
      <c r="C36" s="208" t="s">
        <v>2629</v>
      </c>
      <c r="D36" s="209" t="str">
        <f>"A/2021/325/MMG/SGG"</f>
        <v>A/2021/325/MMG/SGG</v>
      </c>
      <c r="E36" s="210" t="s">
        <v>154</v>
      </c>
      <c r="F36" s="209" t="s">
        <v>644</v>
      </c>
      <c r="G36" s="209" t="s">
        <v>1565</v>
      </c>
      <c r="H36" s="211">
        <v>44215</v>
      </c>
      <c r="I36" s="212">
        <v>44236.500324074077</v>
      </c>
      <c r="J36" s="211">
        <v>44271</v>
      </c>
      <c r="K36" s="211">
        <v>45366</v>
      </c>
      <c r="L36" s="209" t="s">
        <v>2913</v>
      </c>
      <c r="M36" s="213" t="str">
        <f>"Guinee,Kankan,Mandiana,Dialokoro; Siguiri,Siguiri-centre"</f>
        <v>Guinee,Kankan,Mandiana,Dialokoro; Siguiri,Siguiri-centre</v>
      </c>
    </row>
    <row r="37" spans="2:13" x14ac:dyDescent="0.2">
      <c r="B37" s="207" t="str">
        <f>"23060"</f>
        <v>23060</v>
      </c>
      <c r="C37" s="208" t="s">
        <v>1878</v>
      </c>
      <c r="D37" s="209" t="str">
        <f>"A2021/219/MMG/SGG"</f>
        <v>A2021/219/MMG/SGG</v>
      </c>
      <c r="E37" s="210" t="s">
        <v>154</v>
      </c>
      <c r="F37" s="209" t="s">
        <v>644</v>
      </c>
      <c r="G37" s="209" t="s">
        <v>1565</v>
      </c>
      <c r="H37" s="211">
        <v>44228</v>
      </c>
      <c r="I37" s="212">
        <v>44243.556655092594</v>
      </c>
      <c r="J37" s="211">
        <v>44258</v>
      </c>
      <c r="K37" s="211">
        <v>45353</v>
      </c>
      <c r="L37" s="209" t="s">
        <v>2914</v>
      </c>
      <c r="M37" s="213" t="str">
        <f>"Guinee,Faranah,Kissidougo,Firawa, Manfran"</f>
        <v>Guinee,Faranah,Kissidougo,Firawa, Manfran</v>
      </c>
    </row>
    <row r="38" spans="2:13" x14ac:dyDescent="0.2">
      <c r="B38" s="207" t="str">
        <f>"23062"</f>
        <v>23062</v>
      </c>
      <c r="C38" s="208" t="s">
        <v>1851</v>
      </c>
      <c r="D38" s="209" t="str">
        <f>"A2021/327/MMG/SGG"</f>
        <v>A2021/327/MMG/SGG</v>
      </c>
      <c r="E38" s="210" t="s">
        <v>78</v>
      </c>
      <c r="F38" s="209" t="s">
        <v>1781</v>
      </c>
      <c r="G38" s="209" t="s">
        <v>1565</v>
      </c>
      <c r="H38" s="211">
        <v>44235</v>
      </c>
      <c r="I38" s="212">
        <v>44250.443078703705</v>
      </c>
      <c r="J38" s="211">
        <v>44271</v>
      </c>
      <c r="K38" s="211">
        <v>45000</v>
      </c>
      <c r="L38" s="209" t="s">
        <v>1852</v>
      </c>
      <c r="M38" s="213" t="str">
        <f>"Guinee,N'Zerekore,N'Zerekore,Koulé"</f>
        <v>Guinee,N'Zerekore,N'Zerekore,Koulé</v>
      </c>
    </row>
    <row r="39" spans="2:13" x14ac:dyDescent="0.2">
      <c r="B39" s="207" t="str">
        <f>"23066"</f>
        <v>23066</v>
      </c>
      <c r="C39" s="208" t="s">
        <v>1588</v>
      </c>
      <c r="D39" s="209" t="str">
        <f>"D2021/137/PRG/SGG"</f>
        <v>D2021/137/PRG/SGG</v>
      </c>
      <c r="E39" s="210" t="s">
        <v>124</v>
      </c>
      <c r="F39" s="209" t="s">
        <v>644</v>
      </c>
      <c r="G39" s="209" t="s">
        <v>1565</v>
      </c>
      <c r="H39" s="211">
        <v>44225</v>
      </c>
      <c r="I39" s="212">
        <v>44252.652384259258</v>
      </c>
      <c r="J39" s="211">
        <v>44334</v>
      </c>
      <c r="K39" s="211">
        <v>46159</v>
      </c>
      <c r="L39" s="209" t="s">
        <v>2915</v>
      </c>
      <c r="M39" s="213" t="str">
        <f>"Guinee,Kankan,Mandiana,Faralako"</f>
        <v>Guinee,Kankan,Mandiana,Faralako</v>
      </c>
    </row>
    <row r="40" spans="2:13" x14ac:dyDescent="0.2">
      <c r="B40" s="207" t="str">
        <f>"23067"</f>
        <v>23067</v>
      </c>
      <c r="C40" s="208" t="s">
        <v>1588</v>
      </c>
      <c r="D40" s="209" t="str">
        <f>"D2021/136/PRG/SGG"</f>
        <v>D2021/136/PRG/SGG</v>
      </c>
      <c r="E40" s="210" t="s">
        <v>124</v>
      </c>
      <c r="F40" s="209" t="s">
        <v>644</v>
      </c>
      <c r="G40" s="209" t="s">
        <v>1565</v>
      </c>
      <c r="H40" s="211">
        <v>44225</v>
      </c>
      <c r="I40" s="212">
        <v>44252.695972222224</v>
      </c>
      <c r="J40" s="211">
        <v>44334</v>
      </c>
      <c r="K40" s="211">
        <v>46159</v>
      </c>
      <c r="L40" s="209" t="s">
        <v>2916</v>
      </c>
      <c r="M40" s="213" t="str">
        <f>"Guinee,Kankan,Mandiana,Morodou, Niantanina"</f>
        <v>Guinee,Kankan,Mandiana,Morodou, Niantanina</v>
      </c>
    </row>
    <row r="41" spans="2:13" x14ac:dyDescent="0.2">
      <c r="B41" s="207" t="str">
        <f>"23068"</f>
        <v>23068</v>
      </c>
      <c r="C41" s="208" t="s">
        <v>131</v>
      </c>
      <c r="D41" s="209" t="str">
        <f>"D2021/135/PRG/MMG"</f>
        <v>D2021/135/PRG/MMG</v>
      </c>
      <c r="E41" s="210" t="s">
        <v>124</v>
      </c>
      <c r="F41" s="209" t="s">
        <v>644</v>
      </c>
      <c r="G41" s="209" t="s">
        <v>1565</v>
      </c>
      <c r="H41" s="211">
        <v>44225</v>
      </c>
      <c r="I41" s="212">
        <v>44252.731087962966</v>
      </c>
      <c r="J41" s="211">
        <v>44334</v>
      </c>
      <c r="K41" s="211">
        <v>46159</v>
      </c>
      <c r="L41" s="209" t="s">
        <v>2917</v>
      </c>
      <c r="M41" s="213" t="str">
        <f>"Guinee,Kankan,Mandiana,Faralako"</f>
        <v>Guinee,Kankan,Mandiana,Faralako</v>
      </c>
    </row>
    <row r="42" spans="2:13" x14ac:dyDescent="0.2">
      <c r="B42" s="207" t="str">
        <f>"23069"</f>
        <v>23069</v>
      </c>
      <c r="C42" s="208" t="s">
        <v>131</v>
      </c>
      <c r="D42" s="209" t="str">
        <f>"D2021/134/PRG/SGG"</f>
        <v>D2021/134/PRG/SGG</v>
      </c>
      <c r="E42" s="210" t="s">
        <v>124</v>
      </c>
      <c r="F42" s="209" t="s">
        <v>644</v>
      </c>
      <c r="G42" s="209" t="s">
        <v>1565</v>
      </c>
      <c r="H42" s="211">
        <v>44225</v>
      </c>
      <c r="I42" s="212">
        <v>44252.763402777775</v>
      </c>
      <c r="J42" s="211">
        <v>44334</v>
      </c>
      <c r="K42" s="211">
        <v>46159</v>
      </c>
      <c r="L42" s="209" t="s">
        <v>2918</v>
      </c>
      <c r="M42" s="213" t="str">
        <f>"Guinee,Kankan,Mandiana,Faralako"</f>
        <v>Guinee,Kankan,Mandiana,Faralako</v>
      </c>
    </row>
    <row r="43" spans="2:13" x14ac:dyDescent="0.2">
      <c r="B43" s="207" t="str">
        <f>"23073"</f>
        <v>23073</v>
      </c>
      <c r="C43" s="214" t="s">
        <v>1741</v>
      </c>
      <c r="D43" s="215" t="str">
        <f>"AUT/2021/011/MMG/DNM"</f>
        <v>AUT/2021/011/MMG/DNM</v>
      </c>
      <c r="E43" s="207" t="s">
        <v>85</v>
      </c>
      <c r="F43" s="215" t="s">
        <v>644</v>
      </c>
      <c r="G43" s="215" t="s">
        <v>1565</v>
      </c>
      <c r="H43" s="216">
        <v>44251</v>
      </c>
      <c r="I43" s="217">
        <v>44260.539687500001</v>
      </c>
      <c r="J43" s="216">
        <v>44270</v>
      </c>
      <c r="K43" s="216">
        <v>44453</v>
      </c>
      <c r="L43" s="215" t="s">
        <v>2919</v>
      </c>
      <c r="M43" s="218" t="str">
        <f>"Guinee,Kankan,Mandiana,Kantoumanina"</f>
        <v>Guinee,Kankan,Mandiana,Kantoumanina</v>
      </c>
    </row>
    <row r="44" spans="2:13" x14ac:dyDescent="0.2">
      <c r="B44" s="207" t="str">
        <f>"23076"</f>
        <v>23076</v>
      </c>
      <c r="C44" s="208" t="s">
        <v>1853</v>
      </c>
      <c r="D44" s="209" t="str">
        <f>"A2021/2349/MMG/SGG"</f>
        <v>A2021/2349/MMG/SGG</v>
      </c>
      <c r="E44" s="210" t="s">
        <v>78</v>
      </c>
      <c r="F44" s="209" t="s">
        <v>1769</v>
      </c>
      <c r="G44" s="209" t="s">
        <v>1565</v>
      </c>
      <c r="H44" s="211">
        <v>44264</v>
      </c>
      <c r="I44" s="212">
        <v>44265.67832175926</v>
      </c>
      <c r="J44" s="211">
        <v>44433</v>
      </c>
      <c r="K44" s="211">
        <v>45162</v>
      </c>
      <c r="L44" s="209" t="s">
        <v>1854</v>
      </c>
      <c r="M44" s="213" t="str">
        <f>"Guinee,Kankan,Kerouane,Kérouané-centre"</f>
        <v>Guinee,Kankan,Kerouane,Kérouané-centre</v>
      </c>
    </row>
    <row r="45" spans="2:13" x14ac:dyDescent="0.2">
      <c r="B45" s="207" t="str">
        <f>"23077"</f>
        <v>23077</v>
      </c>
      <c r="C45" s="208" t="s">
        <v>1841</v>
      </c>
      <c r="D45" s="209" t="str">
        <f>"A2021/605/MMG/SGG"</f>
        <v>A2021/605/MMG/SGG</v>
      </c>
      <c r="E45" s="210" t="s">
        <v>154</v>
      </c>
      <c r="F45" s="209" t="s">
        <v>644</v>
      </c>
      <c r="G45" s="209" t="s">
        <v>1565</v>
      </c>
      <c r="H45" s="211">
        <v>44236</v>
      </c>
      <c r="I45" s="212">
        <v>44265.653368055559</v>
      </c>
      <c r="J45" s="211">
        <v>44294</v>
      </c>
      <c r="K45" s="211">
        <v>45389</v>
      </c>
      <c r="L45" s="209" t="s">
        <v>2920</v>
      </c>
      <c r="M45" s="213" t="str">
        <f>"Guinee,Kankan,Siguiri,Maléa"</f>
        <v>Guinee,Kankan,Siguiri,Maléa</v>
      </c>
    </row>
    <row r="46" spans="2:13" x14ac:dyDescent="0.2">
      <c r="B46" s="207" t="str">
        <f>"23078"</f>
        <v>23078</v>
      </c>
      <c r="C46" s="208" t="s">
        <v>1845</v>
      </c>
      <c r="D46" s="209" t="str">
        <f>"A2021/573/MMG/SGG"</f>
        <v>A2021/573/MMG/SGG</v>
      </c>
      <c r="E46" s="210" t="s">
        <v>154</v>
      </c>
      <c r="F46" s="209" t="s">
        <v>644</v>
      </c>
      <c r="G46" s="209" t="s">
        <v>1565</v>
      </c>
      <c r="H46" s="211">
        <v>44252</v>
      </c>
      <c r="I46" s="212">
        <v>44266.687395833331</v>
      </c>
      <c r="J46" s="211">
        <v>44288</v>
      </c>
      <c r="K46" s="211">
        <v>45383</v>
      </c>
      <c r="L46" s="209" t="s">
        <v>2921</v>
      </c>
      <c r="M46" s="213" t="str">
        <f>"Guinee,Kankan,Siguiri,Niandankoro, Norassoba"</f>
        <v>Guinee,Kankan,Siguiri,Niandankoro, Norassoba</v>
      </c>
    </row>
    <row r="47" spans="2:13" x14ac:dyDescent="0.2">
      <c r="B47" s="207" t="str">
        <f>"23079"</f>
        <v>23079</v>
      </c>
      <c r="C47" s="208" t="s">
        <v>1843</v>
      </c>
      <c r="D47" s="209" t="str">
        <f>"A2021/604/MMG/SGG"</f>
        <v>A2021/604/MMG/SGG</v>
      </c>
      <c r="E47" s="210" t="s">
        <v>154</v>
      </c>
      <c r="F47" s="209" t="s">
        <v>644</v>
      </c>
      <c r="G47" s="209" t="s">
        <v>1565</v>
      </c>
      <c r="H47" s="211">
        <v>44195</v>
      </c>
      <c r="I47" s="212">
        <v>44267.638252314813</v>
      </c>
      <c r="J47" s="211">
        <v>44294</v>
      </c>
      <c r="K47" s="211">
        <v>45389</v>
      </c>
      <c r="L47" s="209" t="s">
        <v>2922</v>
      </c>
      <c r="M47" s="213" t="str">
        <f>"Guinee,Kankan,Kouroussa,Komola-khoura, Sanguiana"</f>
        <v>Guinee,Kankan,Kouroussa,Komola-khoura, Sanguiana</v>
      </c>
    </row>
    <row r="48" spans="2:13" x14ac:dyDescent="0.2">
      <c r="B48" s="207" t="str">
        <f>"23080"</f>
        <v>23080</v>
      </c>
      <c r="C48" s="208" t="s">
        <v>2627</v>
      </c>
      <c r="D48" s="209" t="str">
        <f>"A/2021/606/MMG/SGG"</f>
        <v>A/2021/606/MMG/SGG</v>
      </c>
      <c r="E48" s="210" t="s">
        <v>154</v>
      </c>
      <c r="F48" s="209" t="s">
        <v>644</v>
      </c>
      <c r="G48" s="209" t="s">
        <v>1565</v>
      </c>
      <c r="H48" s="211">
        <v>44259</v>
      </c>
      <c r="I48" s="212">
        <v>44270.649918981479</v>
      </c>
      <c r="J48" s="211">
        <v>44294</v>
      </c>
      <c r="K48" s="211">
        <v>45389</v>
      </c>
      <c r="L48" s="209" t="s">
        <v>2923</v>
      </c>
      <c r="M48" s="213" t="str">
        <f>"Guinee,Kankan,Siguiri,Niagassola"</f>
        <v>Guinee,Kankan,Siguiri,Niagassola</v>
      </c>
    </row>
    <row r="49" spans="2:13" x14ac:dyDescent="0.2">
      <c r="B49" s="207" t="str">
        <f>"23081"</f>
        <v>23081</v>
      </c>
      <c r="C49" s="208" t="s">
        <v>1849</v>
      </c>
      <c r="D49" s="209" t="str">
        <f>"A2021/571/MMG/SGG"</f>
        <v>A2021/571/MMG/SGG</v>
      </c>
      <c r="E49" s="210" t="s">
        <v>154</v>
      </c>
      <c r="F49" s="209" t="s">
        <v>644</v>
      </c>
      <c r="G49" s="209" t="s">
        <v>1565</v>
      </c>
      <c r="H49" s="211">
        <v>44265</v>
      </c>
      <c r="I49" s="212">
        <v>44271.412638888891</v>
      </c>
      <c r="J49" s="211">
        <v>44288</v>
      </c>
      <c r="K49" s="211">
        <v>45383</v>
      </c>
      <c r="L49" s="209" t="s">
        <v>2924</v>
      </c>
      <c r="M49" s="213" t="str">
        <f>"Guinee,Kankan,Mandiana,Kiniéran"</f>
        <v>Guinee,Kankan,Mandiana,Kiniéran</v>
      </c>
    </row>
    <row r="50" spans="2:13" x14ac:dyDescent="0.2">
      <c r="B50" s="207" t="str">
        <f>"23083"</f>
        <v>23083</v>
      </c>
      <c r="C50" s="208" t="s">
        <v>1839</v>
      </c>
      <c r="D50" s="209" t="str">
        <f>"A2021/607/MMG/SGG"</f>
        <v>A2021/607/MMG/SGG</v>
      </c>
      <c r="E50" s="210" t="s">
        <v>78</v>
      </c>
      <c r="F50" s="209" t="s">
        <v>1781</v>
      </c>
      <c r="G50" s="209" t="s">
        <v>1565</v>
      </c>
      <c r="H50" s="211">
        <v>44251</v>
      </c>
      <c r="I50" s="212">
        <v>44277.557881944442</v>
      </c>
      <c r="J50" s="211">
        <v>44294</v>
      </c>
      <c r="K50" s="211">
        <v>45023</v>
      </c>
      <c r="L50" s="209" t="s">
        <v>1840</v>
      </c>
      <c r="M50" s="213" t="str">
        <f>"Guinee,Labe,Lelouma,Lafou"</f>
        <v>Guinee,Labe,Lelouma,Lafou</v>
      </c>
    </row>
    <row r="51" spans="2:13" x14ac:dyDescent="0.2">
      <c r="B51" s="207" t="str">
        <f>"23087"</f>
        <v>23087</v>
      </c>
      <c r="C51" s="208" t="s">
        <v>1810</v>
      </c>
      <c r="D51" s="209" t="str">
        <f>"A2021/769/MMG/SGG"</f>
        <v>A2021/769/MMG/SGG</v>
      </c>
      <c r="E51" s="210" t="s">
        <v>254</v>
      </c>
      <c r="F51" s="209" t="s">
        <v>1568</v>
      </c>
      <c r="G51" s="209" t="s">
        <v>1565</v>
      </c>
      <c r="H51" s="211">
        <v>43850</v>
      </c>
      <c r="I51" s="212">
        <v>44279.513842592591</v>
      </c>
      <c r="J51" s="211">
        <v>44309</v>
      </c>
      <c r="K51" s="211">
        <v>45404</v>
      </c>
      <c r="L51" s="209" t="s">
        <v>2925</v>
      </c>
      <c r="M51" s="213" t="str">
        <f>"Guinee,Kindia,Kindia,Madina-Oula"</f>
        <v>Guinee,Kindia,Kindia,Madina-Oula</v>
      </c>
    </row>
    <row r="52" spans="2:13" x14ac:dyDescent="0.2">
      <c r="B52" s="207" t="str">
        <f>"23089"</f>
        <v>23089</v>
      </c>
      <c r="C52" s="208" t="s">
        <v>1835</v>
      </c>
      <c r="D52" s="209" t="str">
        <f>"A2021/715/MMG/SGG"</f>
        <v>A2021/715/MMG/SGG</v>
      </c>
      <c r="E52" s="210" t="s">
        <v>78</v>
      </c>
      <c r="F52" s="209" t="s">
        <v>1769</v>
      </c>
      <c r="G52" s="209" t="s">
        <v>1565</v>
      </c>
      <c r="H52" s="211">
        <v>44246</v>
      </c>
      <c r="I52" s="212">
        <v>44286.642013888886</v>
      </c>
      <c r="J52" s="211">
        <v>44306</v>
      </c>
      <c r="K52" s="211">
        <v>45035</v>
      </c>
      <c r="L52" s="209" t="s">
        <v>1836</v>
      </c>
      <c r="M52" s="213" t="str">
        <f>"Guinee,Kindia,Forecariah,Moussayah"</f>
        <v>Guinee,Kindia,Forecariah,Moussayah</v>
      </c>
    </row>
    <row r="53" spans="2:13" x14ac:dyDescent="0.2">
      <c r="B53" s="207" t="str">
        <f>"23090"</f>
        <v>23090</v>
      </c>
      <c r="C53" s="208" t="s">
        <v>1822</v>
      </c>
      <c r="D53" s="209" t="str">
        <f>"A2021/764/MMG/SGG"</f>
        <v>A2021/764/MMG/SGG</v>
      </c>
      <c r="E53" s="210" t="s">
        <v>154</v>
      </c>
      <c r="F53" s="209" t="s">
        <v>644</v>
      </c>
      <c r="G53" s="209" t="s">
        <v>1565</v>
      </c>
      <c r="H53" s="211">
        <v>44267</v>
      </c>
      <c r="I53" s="212">
        <v>44287.507673611108</v>
      </c>
      <c r="J53" s="211">
        <v>44309</v>
      </c>
      <c r="K53" s="211">
        <v>45404</v>
      </c>
      <c r="L53" s="209" t="s">
        <v>2926</v>
      </c>
      <c r="M53" s="213" t="str">
        <f>"Guinee,Kankan,Kouroussa,Komola-khoura"</f>
        <v>Guinee,Kankan,Kouroussa,Komola-khoura</v>
      </c>
    </row>
    <row r="54" spans="2:13" x14ac:dyDescent="0.2">
      <c r="B54" s="207" t="str">
        <f>"23091"</f>
        <v>23091</v>
      </c>
      <c r="C54" s="208" t="s">
        <v>1822</v>
      </c>
      <c r="D54" s="209" t="str">
        <f>"A2021/763/MMG/SGG"</f>
        <v>A2021/763/MMG/SGG</v>
      </c>
      <c r="E54" s="210" t="s">
        <v>154</v>
      </c>
      <c r="F54" s="209" t="s">
        <v>644</v>
      </c>
      <c r="G54" s="209" t="s">
        <v>1565</v>
      </c>
      <c r="H54" s="211">
        <v>44267</v>
      </c>
      <c r="I54" s="212">
        <v>44287.531423611108</v>
      </c>
      <c r="J54" s="211">
        <v>44309</v>
      </c>
      <c r="K54" s="211">
        <v>45404</v>
      </c>
      <c r="L54" s="209" t="s">
        <v>2927</v>
      </c>
      <c r="M54" s="213" t="str">
        <f>"Guinee,Kankan,Mandiana,Faralako, Morodou, Niantanina"</f>
        <v>Guinee,Kankan,Mandiana,Faralako, Morodou, Niantanina</v>
      </c>
    </row>
    <row r="55" spans="2:13" x14ac:dyDescent="0.2">
      <c r="B55" s="207" t="str">
        <f>"23093"</f>
        <v>23093</v>
      </c>
      <c r="C55" s="208" t="s">
        <v>1816</v>
      </c>
      <c r="D55" s="209" t="str">
        <f>"A2021/767/MMG/SGG"</f>
        <v>A2021/767/MMG/SGG</v>
      </c>
      <c r="E55" s="210" t="s">
        <v>154</v>
      </c>
      <c r="F55" s="209" t="s">
        <v>644</v>
      </c>
      <c r="G55" s="209" t="s">
        <v>1565</v>
      </c>
      <c r="H55" s="211">
        <v>44271</v>
      </c>
      <c r="I55" s="212">
        <v>44288.639699074076</v>
      </c>
      <c r="J55" s="211">
        <v>44309</v>
      </c>
      <c r="K55" s="211">
        <v>45404</v>
      </c>
      <c r="L55" s="209" t="s">
        <v>2928</v>
      </c>
      <c r="M55" s="213" t="str">
        <f>"Guinee,Kankan,Siguiri,Franwalia, Naboun"</f>
        <v>Guinee,Kankan,Siguiri,Franwalia, Naboun</v>
      </c>
    </row>
    <row r="56" spans="2:13" x14ac:dyDescent="0.2">
      <c r="B56" s="207" t="str">
        <f>"23094"</f>
        <v>23094</v>
      </c>
      <c r="C56" s="208" t="s">
        <v>1816</v>
      </c>
      <c r="D56" s="209" t="str">
        <f>"A2021/766/MMG/SGG"</f>
        <v>A2021/766/MMG/SGG</v>
      </c>
      <c r="E56" s="210" t="s">
        <v>154</v>
      </c>
      <c r="F56" s="209" t="s">
        <v>644</v>
      </c>
      <c r="G56" s="209" t="s">
        <v>1565</v>
      </c>
      <c r="H56" s="211">
        <v>44266</v>
      </c>
      <c r="I56" s="212">
        <v>44288.66542824074</v>
      </c>
      <c r="J56" s="211">
        <v>44309</v>
      </c>
      <c r="K56" s="211">
        <v>45404</v>
      </c>
      <c r="L56" s="209" t="s">
        <v>2929</v>
      </c>
      <c r="M56" s="213" t="str">
        <f>"Guinee,Kankan,Siguiri,Franwalia, Naboun, Niagassola"</f>
        <v>Guinee,Kankan,Siguiri,Franwalia, Naboun, Niagassola</v>
      </c>
    </row>
    <row r="57" spans="2:13" x14ac:dyDescent="0.2">
      <c r="B57" s="207" t="str">
        <f>"23095"</f>
        <v>23095</v>
      </c>
      <c r="C57" s="208" t="s">
        <v>1806</v>
      </c>
      <c r="D57" s="209" t="str">
        <f>"A2021/771/MMG/SGG"</f>
        <v>A2021/771/MMG/SGG</v>
      </c>
      <c r="E57" s="210" t="s">
        <v>154</v>
      </c>
      <c r="F57" s="209" t="s">
        <v>644</v>
      </c>
      <c r="G57" s="209" t="s">
        <v>1565</v>
      </c>
      <c r="H57" s="211">
        <v>44199</v>
      </c>
      <c r="I57" s="212">
        <v>44288.676041666666</v>
      </c>
      <c r="J57" s="211">
        <v>44309</v>
      </c>
      <c r="K57" s="211">
        <v>45404</v>
      </c>
      <c r="L57" s="209" t="s">
        <v>2930</v>
      </c>
      <c r="M57" s="213" t="str">
        <f>"Guinee,Kankan,Kankan,Missamana; Mandiana,Kantoumanina"</f>
        <v>Guinee,Kankan,Kankan,Missamana; Mandiana,Kantoumanina</v>
      </c>
    </row>
    <row r="58" spans="2:13" x14ac:dyDescent="0.2">
      <c r="B58" s="207" t="str">
        <f>"23096"</f>
        <v>23096</v>
      </c>
      <c r="C58" s="208" t="s">
        <v>1804</v>
      </c>
      <c r="D58" s="209" t="str">
        <f>"A2021/772/MMG/SGG"</f>
        <v>A2021/772/MMG/SGG</v>
      </c>
      <c r="E58" s="210" t="s">
        <v>78</v>
      </c>
      <c r="F58" s="209" t="s">
        <v>1755</v>
      </c>
      <c r="G58" s="209" t="s">
        <v>1565</v>
      </c>
      <c r="H58" s="211">
        <v>44278</v>
      </c>
      <c r="I58" s="212">
        <v>44292.515902777777</v>
      </c>
      <c r="J58" s="211">
        <v>44309</v>
      </c>
      <c r="K58" s="211">
        <v>45038</v>
      </c>
      <c r="L58" s="209" t="s">
        <v>1805</v>
      </c>
      <c r="M58" s="213" t="str">
        <f>"Guinee,Kindia,Forecariah,Maférinya"</f>
        <v>Guinee,Kindia,Forecariah,Maférinya</v>
      </c>
    </row>
    <row r="59" spans="2:13" x14ac:dyDescent="0.2">
      <c r="B59" s="207" t="str">
        <f>"23097"</f>
        <v>23097</v>
      </c>
      <c r="C59" s="208" t="s">
        <v>1802</v>
      </c>
      <c r="D59" s="209" t="str">
        <f>"A2021/773/MMG/SGG"</f>
        <v>A2021/773/MMG/SGG</v>
      </c>
      <c r="E59" s="210" t="s">
        <v>78</v>
      </c>
      <c r="F59" s="209" t="s">
        <v>1769</v>
      </c>
      <c r="G59" s="209" t="s">
        <v>1565</v>
      </c>
      <c r="H59" s="211">
        <v>44287</v>
      </c>
      <c r="I59" s="212">
        <v>44293.539976851855</v>
      </c>
      <c r="J59" s="211">
        <v>44309</v>
      </c>
      <c r="K59" s="211">
        <v>45038</v>
      </c>
      <c r="L59" s="209" t="s">
        <v>1803</v>
      </c>
      <c r="M59" s="213" t="str">
        <f>"Guinee,Kankan,Kouroussa,Baro"</f>
        <v>Guinee,Kankan,Kouroussa,Baro</v>
      </c>
    </row>
    <row r="60" spans="2:13" x14ac:dyDescent="0.2">
      <c r="B60" s="207" t="str">
        <f>"23099"</f>
        <v>23099</v>
      </c>
      <c r="C60" s="208" t="s">
        <v>1582</v>
      </c>
      <c r="D60" s="209" t="str">
        <f>"D2021/196/PRG/SGG"</f>
        <v>D2021/196/PRG/SGG</v>
      </c>
      <c r="E60" s="210" t="s">
        <v>68</v>
      </c>
      <c r="F60" s="209" t="s">
        <v>1568</v>
      </c>
      <c r="G60" s="209" t="s">
        <v>1565</v>
      </c>
      <c r="H60" s="211">
        <v>44132</v>
      </c>
      <c r="I60" s="212">
        <v>44294.412615740737</v>
      </c>
      <c r="J60" s="211">
        <v>44355</v>
      </c>
      <c r="K60" s="211">
        <v>53485</v>
      </c>
      <c r="L60" s="209" t="s">
        <v>2931</v>
      </c>
      <c r="M60" s="213" t="str">
        <f>"Guinee,Kindia,Telimele,Daramagnak, Konsotami, Missira"</f>
        <v>Guinee,Kindia,Telimele,Daramagnak, Konsotami, Missira</v>
      </c>
    </row>
    <row r="61" spans="2:13" x14ac:dyDescent="0.2">
      <c r="B61" s="207" t="str">
        <f>"23101"</f>
        <v>23101</v>
      </c>
      <c r="C61" s="208" t="s">
        <v>1808</v>
      </c>
      <c r="D61" s="209" t="str">
        <f>"A2021/770/MMG/SGG"</f>
        <v>A2021/770/MMG/SGG</v>
      </c>
      <c r="E61" s="210" t="s">
        <v>154</v>
      </c>
      <c r="F61" s="209" t="s">
        <v>644</v>
      </c>
      <c r="G61" s="209" t="s">
        <v>1565</v>
      </c>
      <c r="H61" s="211">
        <v>44266</v>
      </c>
      <c r="I61" s="212">
        <v>44294.468171296299</v>
      </c>
      <c r="J61" s="211">
        <v>44309</v>
      </c>
      <c r="K61" s="211">
        <v>45404</v>
      </c>
      <c r="L61" s="209" t="s">
        <v>2932</v>
      </c>
      <c r="M61" s="213" t="str">
        <f>"Guinee,Kankan,Mandiana,Niantanina"</f>
        <v>Guinee,Kankan,Mandiana,Niantanina</v>
      </c>
    </row>
    <row r="62" spans="2:13" x14ac:dyDescent="0.2">
      <c r="B62" s="207" t="str">
        <f>"23102"</f>
        <v>23102</v>
      </c>
      <c r="C62" s="208" t="s">
        <v>1819</v>
      </c>
      <c r="D62" s="209" t="str">
        <f>"A2021/765/MMG/SGG"</f>
        <v>A2021/765/MMG/SGG</v>
      </c>
      <c r="E62" s="210" t="s">
        <v>1820</v>
      </c>
      <c r="F62" s="209" t="s">
        <v>640</v>
      </c>
      <c r="G62" s="209" t="s">
        <v>1565</v>
      </c>
      <c r="H62" s="211">
        <v>44278</v>
      </c>
      <c r="I62" s="212">
        <v>44294.562835648147</v>
      </c>
      <c r="J62" s="211">
        <v>44309</v>
      </c>
      <c r="K62" s="211">
        <v>45404</v>
      </c>
      <c r="L62" s="209" t="s">
        <v>2933</v>
      </c>
      <c r="M62" s="213" t="str">
        <f>"Guinee,Faranah,Kissidougo,Kondiadou; Kankan,Kerouane,Sibiribaro, Soromaya; N'Zerekore,Macenta,Binikala"</f>
        <v>Guinee,Faranah,Kissidougo,Kondiadou; Kankan,Kerouane,Sibiribaro, Soromaya; N'Zerekore,Macenta,Binikala</v>
      </c>
    </row>
    <row r="63" spans="2:13" x14ac:dyDescent="0.2">
      <c r="B63" s="207" t="str">
        <f>"23103"</f>
        <v>23103</v>
      </c>
      <c r="C63" s="208" t="s">
        <v>1812</v>
      </c>
      <c r="D63" s="209" t="str">
        <f>"A2021/768/MMG/SSG"</f>
        <v>A2021/768/MMG/SSG</v>
      </c>
      <c r="E63" s="210" t="s">
        <v>1813</v>
      </c>
      <c r="F63" s="209" t="s">
        <v>1814</v>
      </c>
      <c r="G63" s="209" t="s">
        <v>1565</v>
      </c>
      <c r="H63" s="211">
        <v>44279</v>
      </c>
      <c r="I63" s="212">
        <v>44295.512604166666</v>
      </c>
      <c r="J63" s="211">
        <v>44309</v>
      </c>
      <c r="K63" s="211">
        <v>45404</v>
      </c>
      <c r="L63" s="209" t="s">
        <v>2934</v>
      </c>
      <c r="M63" s="213" t="str">
        <f>"Guinee,Labe,Mali,Lébékéren, Mali-centre"</f>
        <v>Guinee,Labe,Mali,Lébékéren, Mali-centre</v>
      </c>
    </row>
    <row r="64" spans="2:13" x14ac:dyDescent="0.2">
      <c r="B64" s="207" t="str">
        <f>"23105"</f>
        <v>23105</v>
      </c>
      <c r="C64" s="208" t="s">
        <v>2644</v>
      </c>
      <c r="D64" s="209" t="str">
        <f>"A/2021/1345/MMG/SGG"</f>
        <v>A/2021/1345/MMG/SGG</v>
      </c>
      <c r="E64" s="210" t="s">
        <v>254</v>
      </c>
      <c r="F64" s="209" t="s">
        <v>1568</v>
      </c>
      <c r="G64" s="209" t="s">
        <v>1565</v>
      </c>
      <c r="H64" s="211">
        <v>44281</v>
      </c>
      <c r="I64" s="212">
        <v>44301.535173611112</v>
      </c>
      <c r="J64" s="211">
        <v>44351</v>
      </c>
      <c r="K64" s="211">
        <v>45446</v>
      </c>
      <c r="L64" s="365" t="s">
        <v>2935</v>
      </c>
      <c r="M64" s="213" t="str">
        <f>"Guinee,Boke,Boffa,Kolia; Kindia,Telimele,Daramagnak"</f>
        <v>Guinee,Boke,Boffa,Kolia; Kindia,Telimele,Daramagnak</v>
      </c>
    </row>
    <row r="65" spans="2:13" x14ac:dyDescent="0.2">
      <c r="B65" s="207" t="str">
        <f>"23107"</f>
        <v>23107</v>
      </c>
      <c r="C65" s="208" t="s">
        <v>1793</v>
      </c>
      <c r="D65" s="209" t="str">
        <f>"A2021/848/MMG/SGG"</f>
        <v>A2021/848/MMG/SGG</v>
      </c>
      <c r="E65" s="210" t="s">
        <v>1794</v>
      </c>
      <c r="F65" s="209" t="s">
        <v>1594</v>
      </c>
      <c r="G65" s="209" t="s">
        <v>1565</v>
      </c>
      <c r="H65" s="211">
        <v>44292</v>
      </c>
      <c r="I65" s="212">
        <v>44306.649525462963</v>
      </c>
      <c r="J65" s="211">
        <v>44315</v>
      </c>
      <c r="K65" s="211">
        <v>45410</v>
      </c>
      <c r="L65" s="209" t="s">
        <v>2936</v>
      </c>
      <c r="M65" s="213" t="str">
        <f>"Guinee,Faranah,Faranah,Heremakono, Songoyah"</f>
        <v>Guinee,Faranah,Faranah,Heremakono, Songoyah</v>
      </c>
    </row>
    <row r="66" spans="2:13" x14ac:dyDescent="0.2">
      <c r="B66" s="207" t="str">
        <f>"23108"</f>
        <v>23108</v>
      </c>
      <c r="C66" s="208" t="s">
        <v>1790</v>
      </c>
      <c r="D66" s="209" t="str">
        <f>"A/2021/853/MMG/SGG"</f>
        <v>A/2021/853/MMG/SGG</v>
      </c>
      <c r="E66" s="210" t="s">
        <v>154</v>
      </c>
      <c r="F66" s="209" t="s">
        <v>644</v>
      </c>
      <c r="G66" s="209" t="s">
        <v>1565</v>
      </c>
      <c r="H66" s="211">
        <v>44299</v>
      </c>
      <c r="I66" s="212">
        <v>44307.435671296298</v>
      </c>
      <c r="J66" s="211">
        <v>44315</v>
      </c>
      <c r="K66" s="211">
        <v>45410</v>
      </c>
      <c r="L66" s="209" t="s">
        <v>2937</v>
      </c>
      <c r="M66" s="213" t="str">
        <f>"Guinee,Kankan,Kouroussa,Komola-khoura"</f>
        <v>Guinee,Kankan,Kouroussa,Komola-khoura</v>
      </c>
    </row>
    <row r="67" spans="2:13" x14ac:dyDescent="0.2">
      <c r="B67" s="207" t="str">
        <f>"23109"</f>
        <v>23109</v>
      </c>
      <c r="C67" s="208" t="s">
        <v>1790</v>
      </c>
      <c r="D67" s="209" t="str">
        <f>"A2021/852/MMG/SGG "</f>
        <v xml:space="preserve">A2021/852/MMG/SGG </v>
      </c>
      <c r="E67" s="210" t="s">
        <v>154</v>
      </c>
      <c r="F67" s="209" t="s">
        <v>644</v>
      </c>
      <c r="G67" s="209" t="s">
        <v>1565</v>
      </c>
      <c r="H67" s="211">
        <v>44299</v>
      </c>
      <c r="I67" s="212">
        <v>44307.478310185186</v>
      </c>
      <c r="J67" s="211">
        <v>44315</v>
      </c>
      <c r="K67" s="211">
        <v>45410</v>
      </c>
      <c r="L67" s="209" t="s">
        <v>2938</v>
      </c>
      <c r="M67" s="213" t="str">
        <f>"Guinee,Kankan,Mandiana,Kiniéran, Koundianakoro, Morodou"</f>
        <v>Guinee,Kankan,Mandiana,Kiniéran, Koundianakoro, Morodou</v>
      </c>
    </row>
    <row r="68" spans="2:13" x14ac:dyDescent="0.2">
      <c r="B68" s="207" t="str">
        <f>"23110"</f>
        <v>23110</v>
      </c>
      <c r="C68" s="208" t="s">
        <v>1798</v>
      </c>
      <c r="D68" s="209" t="str">
        <f>"A2021/846/MMG/SGG"</f>
        <v>A2021/846/MMG/SGG</v>
      </c>
      <c r="E68" s="210" t="s">
        <v>254</v>
      </c>
      <c r="F68" s="209" t="s">
        <v>1568</v>
      </c>
      <c r="G68" s="209" t="s">
        <v>1565</v>
      </c>
      <c r="H68" s="211">
        <v>44280</v>
      </c>
      <c r="I68" s="212">
        <v>44307.485659722224</v>
      </c>
      <c r="J68" s="211">
        <v>44315</v>
      </c>
      <c r="K68" s="211">
        <v>45410</v>
      </c>
      <c r="L68" s="209" t="s">
        <v>2939</v>
      </c>
      <c r="M68" s="213" t="str">
        <f>"Guinee,Kindia,Dubreka,Faléssadé, Tondon; Kindia,Bangouya, Samaya"</f>
        <v>Guinee,Kindia,Dubreka,Faléssadé, Tondon; Kindia,Bangouya, Samaya</v>
      </c>
    </row>
    <row r="69" spans="2:13" x14ac:dyDescent="0.2">
      <c r="B69" s="207" t="str">
        <f>"23111"</f>
        <v>23111</v>
      </c>
      <c r="C69" s="208" t="s">
        <v>1790</v>
      </c>
      <c r="D69" s="209" t="str">
        <f>"A/2021/851/MMG/SGG"</f>
        <v>A/2021/851/MMG/SGG</v>
      </c>
      <c r="E69" s="210" t="s">
        <v>154</v>
      </c>
      <c r="F69" s="209" t="s">
        <v>644</v>
      </c>
      <c r="G69" s="209" t="s">
        <v>1565</v>
      </c>
      <c r="H69" s="211">
        <v>44299</v>
      </c>
      <c r="I69" s="212">
        <v>44307.500023148146</v>
      </c>
      <c r="J69" s="211">
        <v>44315</v>
      </c>
      <c r="K69" s="211">
        <v>45410</v>
      </c>
      <c r="L69" s="209" t="s">
        <v>2940</v>
      </c>
      <c r="M69" s="213" t="str">
        <f>"Guinee,Kankan,Mandiana,Koundian, Morodou"</f>
        <v>Guinee,Kankan,Mandiana,Koundian, Morodou</v>
      </c>
    </row>
    <row r="70" spans="2:13" x14ac:dyDescent="0.2">
      <c r="B70" s="207" t="str">
        <f>"23112"</f>
        <v>23112</v>
      </c>
      <c r="C70" s="208" t="s">
        <v>1790</v>
      </c>
      <c r="D70" s="209" t="str">
        <f>"A/2021/850/MMG/SGG"</f>
        <v>A/2021/850/MMG/SGG</v>
      </c>
      <c r="E70" s="210" t="s">
        <v>154</v>
      </c>
      <c r="F70" s="209" t="s">
        <v>644</v>
      </c>
      <c r="G70" s="209" t="s">
        <v>1565</v>
      </c>
      <c r="H70" s="211">
        <v>44299</v>
      </c>
      <c r="I70" s="212">
        <v>44307.534351851849</v>
      </c>
      <c r="J70" s="211">
        <v>44315</v>
      </c>
      <c r="K70" s="211">
        <v>45410</v>
      </c>
      <c r="L70" s="209" t="s">
        <v>2941</v>
      </c>
      <c r="M70" s="213" t="str">
        <f>"Guinee,Kankan,Kankan,Baté-Nafadji; Mandiana,Sansando"</f>
        <v>Guinee,Kankan,Kankan,Baté-Nafadji; Mandiana,Sansando</v>
      </c>
    </row>
    <row r="71" spans="2:13" x14ac:dyDescent="0.2">
      <c r="B71" s="207" t="str">
        <f>"23113"</f>
        <v>23113</v>
      </c>
      <c r="C71" s="208" t="s">
        <v>1790</v>
      </c>
      <c r="D71" s="209" t="str">
        <f>"A2021/849/MMG/SGG"</f>
        <v>A2021/849/MMG/SGG</v>
      </c>
      <c r="E71" s="210" t="s">
        <v>154</v>
      </c>
      <c r="F71" s="209" t="s">
        <v>644</v>
      </c>
      <c r="G71" s="209" t="s">
        <v>1565</v>
      </c>
      <c r="H71" s="211">
        <v>44309</v>
      </c>
      <c r="I71" s="212">
        <v>44307.55059027778</v>
      </c>
      <c r="J71" s="211">
        <v>44315</v>
      </c>
      <c r="K71" s="211">
        <v>45410</v>
      </c>
      <c r="L71" s="209" t="s">
        <v>2942</v>
      </c>
      <c r="M71" s="213" t="str">
        <f>"Guinee,Kankan,Kouroussa,Doura; Siguiri,Norassoba"</f>
        <v>Guinee,Kankan,Kouroussa,Doura; Siguiri,Norassoba</v>
      </c>
    </row>
    <row r="72" spans="2:13" x14ac:dyDescent="0.2">
      <c r="B72" s="207" t="s">
        <v>2943</v>
      </c>
      <c r="C72" s="208" t="s">
        <v>2944</v>
      </c>
      <c r="D72" s="209" t="s">
        <v>2945</v>
      </c>
      <c r="E72" s="210" t="s">
        <v>2946</v>
      </c>
      <c r="F72" s="209" t="s">
        <v>644</v>
      </c>
      <c r="G72" s="209" t="s">
        <v>1565</v>
      </c>
      <c r="H72" s="211"/>
      <c r="I72" s="211">
        <v>44312.446967592594</v>
      </c>
      <c r="J72" s="211">
        <v>44351</v>
      </c>
      <c r="K72" s="211"/>
      <c r="L72" s="209" t="s">
        <v>2947</v>
      </c>
      <c r="M72" s="213" t="s">
        <v>2948</v>
      </c>
    </row>
    <row r="73" spans="2:13" x14ac:dyDescent="0.2">
      <c r="B73" s="207" t="str">
        <f>"23120"</f>
        <v>23120</v>
      </c>
      <c r="C73" s="208" t="s">
        <v>1868</v>
      </c>
      <c r="D73" s="209" t="str">
        <f>"A2021/2332/MMG/SGG"</f>
        <v>A2021/2332/MMG/SGG</v>
      </c>
      <c r="E73" s="210" t="s">
        <v>1869</v>
      </c>
      <c r="F73" s="209" t="s">
        <v>1575</v>
      </c>
      <c r="G73" s="209" t="s">
        <v>1565</v>
      </c>
      <c r="H73" s="211">
        <v>44285</v>
      </c>
      <c r="I73" s="212">
        <v>44322.500381944446</v>
      </c>
      <c r="J73" s="211">
        <v>44433</v>
      </c>
      <c r="K73" s="211">
        <v>45528</v>
      </c>
      <c r="L73" s="209" t="s">
        <v>2949</v>
      </c>
      <c r="M73" s="213" t="str">
        <f>"Guinee,Mamou,Dalaba,Bodié, Kankalabé"</f>
        <v>Guinee,Mamou,Dalaba,Bodié, Kankalabé</v>
      </c>
    </row>
    <row r="74" spans="2:13" x14ac:dyDescent="0.2">
      <c r="B74" s="207" t="str">
        <f>"23121"</f>
        <v>23121</v>
      </c>
      <c r="C74" s="208" t="s">
        <v>1937</v>
      </c>
      <c r="D74" s="209" t="str">
        <f>"A2021/1344/MMG/SGG"</f>
        <v>A2021/1344/MMG/SGG</v>
      </c>
      <c r="E74" s="210" t="s">
        <v>154</v>
      </c>
      <c r="F74" s="209" t="s">
        <v>644</v>
      </c>
      <c r="G74" s="209" t="s">
        <v>1565</v>
      </c>
      <c r="H74" s="211">
        <v>44307</v>
      </c>
      <c r="I74" s="212">
        <v>44328.367719907408</v>
      </c>
      <c r="J74" s="211">
        <v>44351</v>
      </c>
      <c r="K74" s="211">
        <v>45446</v>
      </c>
      <c r="L74" s="209" t="s">
        <v>2950</v>
      </c>
      <c r="M74" s="213" t="str">
        <f>"Guinee,Kankan,Mandiana,Sansando"</f>
        <v>Guinee,Kankan,Mandiana,Sansando</v>
      </c>
    </row>
    <row r="75" spans="2:13" x14ac:dyDescent="0.2">
      <c r="B75" s="207" t="str">
        <f>"23128"</f>
        <v>23128</v>
      </c>
      <c r="C75" s="208" t="s">
        <v>1593</v>
      </c>
      <c r="D75" s="209" t="str">
        <f>"A2021/1339/MMG/SGG"</f>
        <v>A2021/1339/MMG/SGG</v>
      </c>
      <c r="E75" s="210" t="s">
        <v>78</v>
      </c>
      <c r="F75" s="209" t="s">
        <v>1755</v>
      </c>
      <c r="G75" s="209" t="s">
        <v>1565</v>
      </c>
      <c r="H75" s="211">
        <v>44315</v>
      </c>
      <c r="I75" s="212">
        <v>44342.398344907408</v>
      </c>
      <c r="J75" s="211">
        <v>44351</v>
      </c>
      <c r="K75" s="211">
        <v>45080</v>
      </c>
      <c r="L75" s="209" t="s">
        <v>1939</v>
      </c>
      <c r="M75" s="213" t="str">
        <f>"Guinee,Kindia,Forecariah,Maférinya"</f>
        <v>Guinee,Kindia,Forecariah,Maférinya</v>
      </c>
    </row>
    <row r="76" spans="2:13" x14ac:dyDescent="0.2">
      <c r="B76" s="207" t="str">
        <f>"23130"</f>
        <v>23130</v>
      </c>
      <c r="C76" s="208" t="s">
        <v>1896</v>
      </c>
      <c r="D76" s="209" t="str">
        <f>"A2021/1692/MMG/SGG"</f>
        <v>A2021/1692/MMG/SGG</v>
      </c>
      <c r="E76" s="210" t="s">
        <v>154</v>
      </c>
      <c r="F76" s="209" t="s">
        <v>644</v>
      </c>
      <c r="G76" s="209" t="s">
        <v>1565</v>
      </c>
      <c r="H76" s="211">
        <v>44307</v>
      </c>
      <c r="I76" s="212">
        <v>44344.438657407409</v>
      </c>
      <c r="J76" s="211">
        <v>44383</v>
      </c>
      <c r="K76" s="211">
        <v>45478</v>
      </c>
      <c r="L76" s="209" t="s">
        <v>2951</v>
      </c>
      <c r="M76" s="213" t="str">
        <f>"Guinee,Labe,Mali,Balaki"</f>
        <v>Guinee,Labe,Mali,Balaki</v>
      </c>
    </row>
    <row r="77" spans="2:13" x14ac:dyDescent="0.2">
      <c r="B77" s="207" t="str">
        <f>"23132"</f>
        <v>23132</v>
      </c>
      <c r="C77" s="208" t="s">
        <v>2640</v>
      </c>
      <c r="D77" s="209" t="str">
        <f>"A/2021/1629/MMG"</f>
        <v>A/2021/1629/MMG</v>
      </c>
      <c r="E77" s="210" t="s">
        <v>154</v>
      </c>
      <c r="F77" s="209" t="s">
        <v>644</v>
      </c>
      <c r="G77" s="209" t="s">
        <v>1565</v>
      </c>
      <c r="H77" s="211">
        <v>44259</v>
      </c>
      <c r="I77" s="212">
        <v>44349.560277777775</v>
      </c>
      <c r="J77" s="211">
        <v>44375</v>
      </c>
      <c r="K77" s="211">
        <v>45470</v>
      </c>
      <c r="L77" s="209" t="s">
        <v>2952</v>
      </c>
      <c r="M77" s="213" t="str">
        <f>"Guinee,Kankan,Siguiri,Naboun, Niagassola"</f>
        <v>Guinee,Kankan,Siguiri,Naboun, Niagassola</v>
      </c>
    </row>
    <row r="78" spans="2:13" x14ac:dyDescent="0.2">
      <c r="B78" s="207" t="str">
        <f>"23133"</f>
        <v>23133</v>
      </c>
      <c r="C78" s="208" t="s">
        <v>1916</v>
      </c>
      <c r="D78" s="209" t="str">
        <f>"A2021/1628/MMG/SGG"</f>
        <v>A2021/1628/MMG/SGG</v>
      </c>
      <c r="E78" s="210" t="s">
        <v>2953</v>
      </c>
      <c r="F78" s="209" t="s">
        <v>640</v>
      </c>
      <c r="G78" s="209" t="s">
        <v>1565</v>
      </c>
      <c r="H78" s="211">
        <v>44313</v>
      </c>
      <c r="I78" s="212">
        <v>44351.637291666666</v>
      </c>
      <c r="J78" s="211">
        <v>44405</v>
      </c>
      <c r="K78" s="211">
        <v>45500</v>
      </c>
      <c r="L78" s="209" t="s">
        <v>2954</v>
      </c>
      <c r="M78" s="213" t="str">
        <f>"Guinee,Kankan,Kerouane,Banankoro, Soromaya"</f>
        <v>Guinee,Kankan,Kerouane,Banankoro, Soromaya</v>
      </c>
    </row>
    <row r="79" spans="2:13" x14ac:dyDescent="0.2">
      <c r="B79" s="207" t="str">
        <f>"23134"</f>
        <v>23134</v>
      </c>
      <c r="C79" s="208" t="s">
        <v>1918</v>
      </c>
      <c r="D79" s="209" t="str">
        <f>"A2021/1618/MMG/SGG"</f>
        <v>A2021/1618/MMG/SGG</v>
      </c>
      <c r="E79" s="210" t="s">
        <v>154</v>
      </c>
      <c r="F79" s="209" t="s">
        <v>644</v>
      </c>
      <c r="G79" s="209" t="s">
        <v>1565</v>
      </c>
      <c r="H79" s="211">
        <v>44313</v>
      </c>
      <c r="I79" s="212">
        <v>44355.664004629631</v>
      </c>
      <c r="J79" s="211">
        <v>44405</v>
      </c>
      <c r="K79" s="211">
        <v>45500</v>
      </c>
      <c r="L79" s="209" t="s">
        <v>2955</v>
      </c>
      <c r="M79" s="213" t="str">
        <f>"Guinee,Kankan,Kouroussa,Komola-khoura"</f>
        <v>Guinee,Kankan,Kouroussa,Komola-khoura</v>
      </c>
    </row>
    <row r="80" spans="2:13" x14ac:dyDescent="0.2">
      <c r="B80" s="207" t="str">
        <f>"23135"</f>
        <v>23135</v>
      </c>
      <c r="C80" s="208" t="s">
        <v>1898</v>
      </c>
      <c r="D80" s="209" t="str">
        <f>"A2021/1691/MMG/SGG"</f>
        <v>A2021/1691/MMG/SGG</v>
      </c>
      <c r="E80" s="210" t="s">
        <v>2953</v>
      </c>
      <c r="F80" s="209" t="s">
        <v>640</v>
      </c>
      <c r="G80" s="209" t="s">
        <v>1565</v>
      </c>
      <c r="H80" s="211">
        <v>44322</v>
      </c>
      <c r="I80" s="212">
        <v>44361.469178240739</v>
      </c>
      <c r="J80" s="211">
        <v>44383</v>
      </c>
      <c r="K80" s="211">
        <v>45478</v>
      </c>
      <c r="L80" s="209" t="s">
        <v>2956</v>
      </c>
      <c r="M80" s="213" t="str">
        <f>"Guinee,Kankan,Kerouane,Sibiribaro, Soromaya"</f>
        <v>Guinee,Kankan,Kerouane,Sibiribaro, Soromaya</v>
      </c>
    </row>
    <row r="81" spans="2:13" x14ac:dyDescent="0.2">
      <c r="B81" s="207" t="str">
        <f>"23138"</f>
        <v>23138</v>
      </c>
      <c r="C81" s="208" t="s">
        <v>1907</v>
      </c>
      <c r="D81" s="209" t="str">
        <f>"A2021/1686/MMG/SGG"</f>
        <v>A2021/1686/MMG/SGG</v>
      </c>
      <c r="E81" s="210" t="s">
        <v>154</v>
      </c>
      <c r="F81" s="209" t="s">
        <v>644</v>
      </c>
      <c r="G81" s="209" t="s">
        <v>1565</v>
      </c>
      <c r="H81" s="211">
        <v>44354</v>
      </c>
      <c r="I81" s="212">
        <v>44362.551851851851</v>
      </c>
      <c r="J81" s="211">
        <v>44383</v>
      </c>
      <c r="K81" s="211">
        <v>45478</v>
      </c>
      <c r="L81" s="209" t="s">
        <v>2957</v>
      </c>
      <c r="M81" s="213" t="str">
        <f>"Guinee,Kankan,Siguiri,Doko, Siguiri-centre"</f>
        <v>Guinee,Kankan,Siguiri,Doko, Siguiri-centre</v>
      </c>
    </row>
    <row r="82" spans="2:13" x14ac:dyDescent="0.2">
      <c r="B82" s="207" t="str">
        <f>"23139"</f>
        <v>23139</v>
      </c>
      <c r="C82" s="208" t="s">
        <v>1902</v>
      </c>
      <c r="D82" s="209" t="str">
        <f>"A2021/1689/MMG/SGG"</f>
        <v>A2021/1689/MMG/SGG</v>
      </c>
      <c r="E82" s="210" t="s">
        <v>154</v>
      </c>
      <c r="F82" s="209" t="s">
        <v>644</v>
      </c>
      <c r="G82" s="209" t="s">
        <v>1565</v>
      </c>
      <c r="H82" s="211">
        <v>44354</v>
      </c>
      <c r="I82" s="212">
        <v>44362.626932870371</v>
      </c>
      <c r="J82" s="211">
        <v>44383</v>
      </c>
      <c r="K82" s="211">
        <v>45478</v>
      </c>
      <c r="L82" s="209" t="s">
        <v>2958</v>
      </c>
      <c r="M82" s="213" t="str">
        <f>"Guinee,Kankan,Mandiana,Balandougouba"</f>
        <v>Guinee,Kankan,Mandiana,Balandougouba</v>
      </c>
    </row>
    <row r="83" spans="2:13" x14ac:dyDescent="0.2">
      <c r="B83" s="207" t="str">
        <f>"23140"</f>
        <v>23140</v>
      </c>
      <c r="C83" s="208" t="s">
        <v>1904</v>
      </c>
      <c r="D83" s="209" t="str">
        <f>"A2021/1688/MMG/SGG"</f>
        <v>A2021/1688/MMG/SGG</v>
      </c>
      <c r="E83" s="210" t="s">
        <v>154</v>
      </c>
      <c r="F83" s="209" t="s">
        <v>644</v>
      </c>
      <c r="G83" s="209" t="s">
        <v>1565</v>
      </c>
      <c r="H83" s="211">
        <v>44354</v>
      </c>
      <c r="I83" s="212">
        <v>44362.642812500002</v>
      </c>
      <c r="J83" s="211">
        <v>44383</v>
      </c>
      <c r="K83" s="211">
        <v>45478</v>
      </c>
      <c r="L83" s="209" t="s">
        <v>2959</v>
      </c>
      <c r="M83" s="213" t="str">
        <f>"Guinee,Kankan,Siguiri,Kiniebakoura"</f>
        <v>Guinee,Kankan,Siguiri,Kiniebakoura</v>
      </c>
    </row>
    <row r="84" spans="2:13" x14ac:dyDescent="0.2">
      <c r="B84" s="207" t="str">
        <f>"23141"</f>
        <v>23141</v>
      </c>
      <c r="C84" s="208" t="s">
        <v>1894</v>
      </c>
      <c r="D84" s="209" t="str">
        <f>"A2021/1693/MMG/SGG"</f>
        <v>A2021/1693/MMG/SGG</v>
      </c>
      <c r="E84" s="210" t="s">
        <v>154</v>
      </c>
      <c r="F84" s="209" t="s">
        <v>644</v>
      </c>
      <c r="G84" s="209" t="s">
        <v>1565</v>
      </c>
      <c r="H84" s="211">
        <v>44355</v>
      </c>
      <c r="I84" s="212">
        <v>44363.432696759257</v>
      </c>
      <c r="J84" s="211">
        <v>44383</v>
      </c>
      <c r="K84" s="211">
        <v>45478</v>
      </c>
      <c r="L84" s="209" t="s">
        <v>2960</v>
      </c>
      <c r="M84" s="213" t="str">
        <f>"Guinee,Kankan,Siguiri,Niagassola"</f>
        <v>Guinee,Kankan,Siguiri,Niagassola</v>
      </c>
    </row>
    <row r="85" spans="2:13" x14ac:dyDescent="0.2">
      <c r="B85" s="207" t="str">
        <f>"23142"</f>
        <v>23142</v>
      </c>
      <c r="C85" s="208" t="s">
        <v>1894</v>
      </c>
      <c r="D85" s="209" t="str">
        <f>"A2021/1687/MMG/SGG"</f>
        <v>A2021/1687/MMG/SGG</v>
      </c>
      <c r="E85" s="210" t="s">
        <v>154</v>
      </c>
      <c r="F85" s="209" t="s">
        <v>644</v>
      </c>
      <c r="G85" s="209" t="s">
        <v>1565</v>
      </c>
      <c r="H85" s="211">
        <v>44355</v>
      </c>
      <c r="I85" s="212">
        <v>44363.455520833333</v>
      </c>
      <c r="J85" s="211">
        <v>44383</v>
      </c>
      <c r="K85" s="211">
        <v>45478</v>
      </c>
      <c r="L85" s="209" t="s">
        <v>2961</v>
      </c>
      <c r="M85" s="213" t="str">
        <f>"Guinee,Faranah,Kissidougo,Manfran"</f>
        <v>Guinee,Faranah,Kissidougo,Manfran</v>
      </c>
    </row>
    <row r="86" spans="2:13" x14ac:dyDescent="0.2">
      <c r="B86" s="207" t="str">
        <f>"23143"</f>
        <v>23143</v>
      </c>
      <c r="C86" s="208" t="s">
        <v>1894</v>
      </c>
      <c r="D86" s="209" t="str">
        <f>"A2021/1690/MMG/SGG"</f>
        <v>A2021/1690/MMG/SGG</v>
      </c>
      <c r="E86" s="210" t="s">
        <v>154</v>
      </c>
      <c r="F86" s="209" t="s">
        <v>644</v>
      </c>
      <c r="G86" s="209" t="s">
        <v>1565</v>
      </c>
      <c r="H86" s="211">
        <v>44355</v>
      </c>
      <c r="I86" s="212">
        <v>44363.4684837963</v>
      </c>
      <c r="J86" s="211">
        <v>44383</v>
      </c>
      <c r="K86" s="211">
        <v>45478</v>
      </c>
      <c r="L86" s="209" t="s">
        <v>2962</v>
      </c>
      <c r="M86" s="213" t="str">
        <f>"Guinee,Faranah,Kissidougo,Manfran; Kankan,Kankan,Tokounou"</f>
        <v>Guinee,Faranah,Kissidougo,Manfran; Kankan,Kankan,Tokounou</v>
      </c>
    </row>
    <row r="87" spans="2:13" x14ac:dyDescent="0.2">
      <c r="B87" s="207" t="str">
        <f>"23145"</f>
        <v>23145</v>
      </c>
      <c r="C87" s="208" t="s">
        <v>1743</v>
      </c>
      <c r="D87" s="209" t="str">
        <f>"AUT/2022/007/MMG/SGG"</f>
        <v>AUT/2022/007/MMG/SGG</v>
      </c>
      <c r="E87" s="210" t="s">
        <v>85</v>
      </c>
      <c r="F87" s="209" t="s">
        <v>1575</v>
      </c>
      <c r="G87" s="209" t="s">
        <v>1565</v>
      </c>
      <c r="H87" s="211">
        <v>44356</v>
      </c>
      <c r="I87" s="212">
        <v>44369.665416666663</v>
      </c>
      <c r="J87" s="211">
        <v>44379</v>
      </c>
      <c r="K87" s="211">
        <v>44790</v>
      </c>
      <c r="L87" s="209" t="s">
        <v>2963</v>
      </c>
      <c r="M87" s="213" t="str">
        <f>"Guinee,Boke,Gaoual,Malanta, Touba (5); Labe,Lelouma,Linsan-saran, Manda, Tianguel-Bori"</f>
        <v>Guinee,Boke,Gaoual,Malanta, Touba (5); Labe,Lelouma,Linsan-saran, Manda, Tianguel-Bori</v>
      </c>
    </row>
    <row r="88" spans="2:13" x14ac:dyDescent="0.2">
      <c r="B88" s="207" t="str">
        <f>"23148"</f>
        <v>23148</v>
      </c>
      <c r="C88" s="208" t="s">
        <v>1866</v>
      </c>
      <c r="D88" s="209" t="str">
        <f>"A2021/2333/MMG/SGG"</f>
        <v>A2021/2333/MMG/SGG</v>
      </c>
      <c r="E88" s="210" t="s">
        <v>154</v>
      </c>
      <c r="F88" s="209" t="s">
        <v>644</v>
      </c>
      <c r="G88" s="209" t="s">
        <v>1565</v>
      </c>
      <c r="H88" s="211">
        <v>44340</v>
      </c>
      <c r="I88" s="212">
        <v>44375.495104166665</v>
      </c>
      <c r="J88" s="211">
        <v>44433</v>
      </c>
      <c r="K88" s="211">
        <v>45528</v>
      </c>
      <c r="L88" s="209" t="s">
        <v>2964</v>
      </c>
      <c r="M88" s="213" t="str">
        <f>"Guinee,Kankan,Kouroussa,Doura, Sanguiana"</f>
        <v>Guinee,Kankan,Kouroussa,Doura, Sanguiana</v>
      </c>
    </row>
    <row r="89" spans="2:13" x14ac:dyDescent="0.2">
      <c r="B89" s="207" t="str">
        <f>"23149"</f>
        <v>23149</v>
      </c>
      <c r="C89" s="208" t="s">
        <v>1887</v>
      </c>
      <c r="D89" s="209" t="str">
        <f>"A2021/1806/MMG/SGG"</f>
        <v>A2021/1806/MMG/SGG</v>
      </c>
      <c r="E89" s="210" t="s">
        <v>78</v>
      </c>
      <c r="F89" s="209" t="s">
        <v>1769</v>
      </c>
      <c r="G89" s="209" t="s">
        <v>1565</v>
      </c>
      <c r="H89" s="211">
        <v>44358</v>
      </c>
      <c r="I89" s="212">
        <v>44377.567395833335</v>
      </c>
      <c r="J89" s="211">
        <v>44390</v>
      </c>
      <c r="K89" s="211">
        <v>45119</v>
      </c>
      <c r="L89" s="209" t="s">
        <v>1888</v>
      </c>
      <c r="M89" s="213" t="str">
        <f>"Guinee,Kindia,Coyah,Kouria"</f>
        <v>Guinee,Kindia,Coyah,Kouria</v>
      </c>
    </row>
    <row r="90" spans="2:13" x14ac:dyDescent="0.2">
      <c r="B90" s="207" t="str">
        <f>"23150"</f>
        <v>23150</v>
      </c>
      <c r="C90" s="208" t="s">
        <v>331</v>
      </c>
      <c r="D90" s="209" t="str">
        <f>"A2021/1804/MMG/SGG"</f>
        <v>A2021/1804/MMG/SGG</v>
      </c>
      <c r="E90" s="210" t="s">
        <v>78</v>
      </c>
      <c r="F90" s="209" t="s">
        <v>1890</v>
      </c>
      <c r="G90" s="209" t="s">
        <v>1565</v>
      </c>
      <c r="H90" s="211">
        <v>44309</v>
      </c>
      <c r="I90" s="212">
        <v>44378.512418981481</v>
      </c>
      <c r="J90" s="211">
        <v>44390</v>
      </c>
      <c r="K90" s="211">
        <v>45119</v>
      </c>
      <c r="L90" s="209" t="s">
        <v>1891</v>
      </c>
      <c r="M90" s="213" t="str">
        <f>"Guinee,Kindia,Dubreka,Ouassou"</f>
        <v>Guinee,Kindia,Dubreka,Ouassou</v>
      </c>
    </row>
    <row r="91" spans="2:13" x14ac:dyDescent="0.2">
      <c r="B91" s="207" t="str">
        <f>"23152"</f>
        <v>23152</v>
      </c>
      <c r="C91" s="208" t="s">
        <v>1892</v>
      </c>
      <c r="D91" s="209" t="str">
        <f>"A2021/1803/MMG/SGG"</f>
        <v>A2021/1803/MMG/SGG</v>
      </c>
      <c r="E91" s="210" t="s">
        <v>254</v>
      </c>
      <c r="F91" s="209" t="s">
        <v>1568</v>
      </c>
      <c r="G91" s="209" t="s">
        <v>1565</v>
      </c>
      <c r="H91" s="211">
        <v>44268</v>
      </c>
      <c r="I91" s="212">
        <v>44378.61142361111</v>
      </c>
      <c r="J91" s="211">
        <v>44390</v>
      </c>
      <c r="K91" s="211">
        <v>45485</v>
      </c>
      <c r="L91" s="209" t="s">
        <v>2965</v>
      </c>
      <c r="M91" s="213" t="str">
        <f>"Guinee,Boke,Koundara,Guinguan, Termessé; Labe,Mali,Touba Bagadadji"</f>
        <v>Guinee,Boke,Koundara,Guinguan, Termessé; Labe,Mali,Touba Bagadadji</v>
      </c>
    </row>
    <row r="92" spans="2:13" x14ac:dyDescent="0.2">
      <c r="B92" s="219" t="s">
        <v>2966</v>
      </c>
      <c r="C92" s="208" t="s">
        <v>2967</v>
      </c>
      <c r="D92" s="220" t="s">
        <v>2968</v>
      </c>
      <c r="E92" s="219" t="s">
        <v>2735</v>
      </c>
      <c r="F92" s="219" t="s">
        <v>644</v>
      </c>
      <c r="G92" s="219" t="s">
        <v>2969</v>
      </c>
      <c r="H92" s="221">
        <v>44375</v>
      </c>
      <c r="I92" s="212">
        <v>44375.532222222224</v>
      </c>
      <c r="J92" s="221">
        <v>44376</v>
      </c>
      <c r="K92" s="221"/>
      <c r="L92" s="221" t="s">
        <v>2970</v>
      </c>
      <c r="M92" s="366" t="s">
        <v>2971</v>
      </c>
    </row>
    <row r="93" spans="2:13" x14ac:dyDescent="0.2">
      <c r="B93" s="207" t="str">
        <f>"23155"</f>
        <v>23155</v>
      </c>
      <c r="C93" s="208" t="s">
        <v>1885</v>
      </c>
      <c r="D93" s="209" t="str">
        <f>"A2021/1958/MMG/SGG"</f>
        <v>A2021/1958/MMG/SGG</v>
      </c>
      <c r="E93" s="210" t="s">
        <v>154</v>
      </c>
      <c r="F93" s="209" t="s">
        <v>644</v>
      </c>
      <c r="G93" s="209" t="s">
        <v>1565</v>
      </c>
      <c r="H93" s="211">
        <v>44363</v>
      </c>
      <c r="I93" s="212">
        <v>44385.54582175926</v>
      </c>
      <c r="J93" s="211">
        <v>44404</v>
      </c>
      <c r="K93" s="211">
        <v>45499</v>
      </c>
      <c r="L93" s="209" t="s">
        <v>2972</v>
      </c>
      <c r="M93" s="213" t="str">
        <f>"Guinee,Kankan,Siguiri,Doko"</f>
        <v>Guinee,Kankan,Siguiri,Doko</v>
      </c>
    </row>
    <row r="94" spans="2:13" x14ac:dyDescent="0.2">
      <c r="B94" s="207" t="str">
        <f>"23166"</f>
        <v>23166</v>
      </c>
      <c r="C94" s="208" t="s">
        <v>1857</v>
      </c>
      <c r="D94" s="209" t="str">
        <f>"A2021/2339/MMG/SGG"</f>
        <v>A2021/2339/MMG/SGG</v>
      </c>
      <c r="E94" s="210" t="s">
        <v>1794</v>
      </c>
      <c r="F94" s="209" t="s">
        <v>1594</v>
      </c>
      <c r="G94" s="209" t="s">
        <v>1565</v>
      </c>
      <c r="H94" s="211">
        <v>44403</v>
      </c>
      <c r="I94" s="212">
        <v>44407.480717592596</v>
      </c>
      <c r="J94" s="211">
        <v>44433</v>
      </c>
      <c r="K94" s="211">
        <v>45528</v>
      </c>
      <c r="L94" s="209" t="s">
        <v>2973</v>
      </c>
      <c r="M94" s="213" t="str">
        <f>"Guinee,Faranah,Kissidougo,Albadariah, Manfran, Sangardo"</f>
        <v>Guinee,Faranah,Kissidougo,Albadariah, Manfran, Sangardo</v>
      </c>
    </row>
    <row r="95" spans="2:13" x14ac:dyDescent="0.2">
      <c r="B95" s="207" t="str">
        <f>"23167"</f>
        <v>23167</v>
      </c>
      <c r="C95" s="208" t="s">
        <v>1857</v>
      </c>
      <c r="D95" s="209" t="str">
        <f>"A2021/2338/MMG/SGG"</f>
        <v>A2021/2338/MMG/SGG</v>
      </c>
      <c r="E95" s="210" t="s">
        <v>1794</v>
      </c>
      <c r="F95" s="209" t="s">
        <v>1594</v>
      </c>
      <c r="G95" s="209" t="s">
        <v>1565</v>
      </c>
      <c r="H95" s="211">
        <v>44403</v>
      </c>
      <c r="I95" s="212">
        <v>44407.540208333332</v>
      </c>
      <c r="J95" s="211">
        <v>44433</v>
      </c>
      <c r="K95" s="211">
        <v>45528</v>
      </c>
      <c r="L95" s="209" t="s">
        <v>2974</v>
      </c>
      <c r="M95" s="213" t="str">
        <f>"Guinee,Kankan,Kouroussa,Douako"</f>
        <v>Guinee,Kankan,Kouroussa,Douako</v>
      </c>
    </row>
    <row r="96" spans="2:13" x14ac:dyDescent="0.2">
      <c r="B96" s="207" t="str">
        <f>"23173"</f>
        <v>23173</v>
      </c>
      <c r="C96" s="208" t="s">
        <v>131</v>
      </c>
      <c r="D96" s="209" t="str">
        <f>"A2021/2337/MMG/SGG"</f>
        <v>A2021/2337/MMG/SGG</v>
      </c>
      <c r="E96" s="210" t="s">
        <v>154</v>
      </c>
      <c r="F96" s="209" t="s">
        <v>1860</v>
      </c>
      <c r="G96" s="209" t="s">
        <v>1565</v>
      </c>
      <c r="H96" s="211">
        <v>44382</v>
      </c>
      <c r="I96" s="212">
        <v>44411.687511574077</v>
      </c>
      <c r="J96" s="211">
        <v>44433</v>
      </c>
      <c r="K96" s="211">
        <v>45528</v>
      </c>
      <c r="L96" s="209" t="s">
        <v>2975</v>
      </c>
      <c r="M96" s="213" t="str">
        <f>"Mandiana"</f>
        <v>Mandiana</v>
      </c>
    </row>
    <row r="97" spans="2:13" x14ac:dyDescent="0.2">
      <c r="B97" s="207" t="str">
        <f>"23174"</f>
        <v>23174</v>
      </c>
      <c r="C97" s="208" t="s">
        <v>131</v>
      </c>
      <c r="D97" s="209" t="str">
        <f>"A2021/2336/MMG/SGG"</f>
        <v>A2021/2336/MMG/SGG</v>
      </c>
      <c r="E97" s="210" t="s">
        <v>154</v>
      </c>
      <c r="F97" s="209" t="s">
        <v>1860</v>
      </c>
      <c r="G97" s="209" t="s">
        <v>1565</v>
      </c>
      <c r="H97" s="211">
        <v>44382</v>
      </c>
      <c r="I97" s="212">
        <v>44412.426064814812</v>
      </c>
      <c r="J97" s="211">
        <v>44433</v>
      </c>
      <c r="K97" s="211">
        <v>45528</v>
      </c>
      <c r="L97" s="209" t="s">
        <v>2976</v>
      </c>
      <c r="M97" s="213" t="str">
        <f>"Mandiana"</f>
        <v>Mandiana</v>
      </c>
    </row>
    <row r="98" spans="2:13" x14ac:dyDescent="0.2">
      <c r="B98" s="207" t="str">
        <f>"23175"</f>
        <v>23175</v>
      </c>
      <c r="C98" s="208" t="s">
        <v>1863</v>
      </c>
      <c r="D98" s="209" t="str">
        <f>"A2021/2334/MMG/SGG"</f>
        <v>A2021/2334/MMG/SGG</v>
      </c>
      <c r="E98" s="210" t="s">
        <v>154</v>
      </c>
      <c r="F98" s="209" t="s">
        <v>1860</v>
      </c>
      <c r="G98" s="209" t="s">
        <v>1565</v>
      </c>
      <c r="H98" s="211">
        <v>44410</v>
      </c>
      <c r="I98" s="212">
        <v>44412.44226851852</v>
      </c>
      <c r="J98" s="211">
        <v>44433</v>
      </c>
      <c r="K98" s="211">
        <v>45528</v>
      </c>
      <c r="L98" s="209" t="s">
        <v>2977</v>
      </c>
      <c r="M98" s="213" t="str">
        <f>"Mandiana"</f>
        <v>Mandiana</v>
      </c>
    </row>
    <row r="99" spans="2:13" x14ac:dyDescent="0.2">
      <c r="B99" s="207" t="str">
        <f>"23176"</f>
        <v>23176</v>
      </c>
      <c r="C99" s="208" t="s">
        <v>1863</v>
      </c>
      <c r="D99" s="209" t="str">
        <f>"A2021/2335/MMG/SGG"</f>
        <v>A2021/2335/MMG/SGG</v>
      </c>
      <c r="E99" s="210" t="s">
        <v>154</v>
      </c>
      <c r="F99" s="209" t="s">
        <v>1860</v>
      </c>
      <c r="G99" s="209" t="s">
        <v>1565</v>
      </c>
      <c r="H99" s="211">
        <v>44410</v>
      </c>
      <c r="I99" s="212">
        <v>44412.473958333336</v>
      </c>
      <c r="J99" s="211">
        <v>44433</v>
      </c>
      <c r="K99" s="211">
        <v>45528</v>
      </c>
      <c r="L99" s="209" t="s">
        <v>2978</v>
      </c>
      <c r="M99" s="213" t="str">
        <f>"Mandiana"</f>
        <v>Mandiana</v>
      </c>
    </row>
    <row r="100" spans="2:13" x14ac:dyDescent="0.2">
      <c r="B100" s="207" t="str">
        <f>"23179"</f>
        <v>23179</v>
      </c>
      <c r="C100" s="208" t="s">
        <v>1871</v>
      </c>
      <c r="D100" s="209" t="str">
        <f>"A2021/2331/MMG/SGG"</f>
        <v>A2021/2331/MMG/SGG</v>
      </c>
      <c r="E100" s="210" t="s">
        <v>154</v>
      </c>
      <c r="F100" s="209" t="s">
        <v>644</v>
      </c>
      <c r="G100" s="209" t="s">
        <v>1565</v>
      </c>
      <c r="H100" s="211">
        <v>44414</v>
      </c>
      <c r="I100" s="212">
        <v>44418.620659722219</v>
      </c>
      <c r="J100" s="211">
        <v>44433</v>
      </c>
      <c r="K100" s="211">
        <v>45528</v>
      </c>
      <c r="L100" s="209" t="s">
        <v>2979</v>
      </c>
      <c r="M100" s="213" t="str">
        <f>"Kankan"</f>
        <v>Kankan</v>
      </c>
    </row>
    <row r="101" spans="2:13" x14ac:dyDescent="0.2">
      <c r="B101" s="207" t="str">
        <f>"23180"</f>
        <v>23180</v>
      </c>
      <c r="C101" s="208" t="s">
        <v>1866</v>
      </c>
      <c r="D101" s="209" t="str">
        <f>"A2021/1805/MMG/SGG"</f>
        <v>A2021/1805/MMG/SGG</v>
      </c>
      <c r="E101" s="210" t="s">
        <v>154</v>
      </c>
      <c r="F101" s="209" t="s">
        <v>1860</v>
      </c>
      <c r="G101" s="209" t="s">
        <v>1565</v>
      </c>
      <c r="H101" s="211">
        <v>44419</v>
      </c>
      <c r="I101" s="212">
        <v>44419.62195601852</v>
      </c>
      <c r="J101" s="211">
        <v>44390</v>
      </c>
      <c r="K101" s="211">
        <v>45485</v>
      </c>
      <c r="L101" s="209" t="s">
        <v>2980</v>
      </c>
      <c r="M101" s="213" t="str">
        <f>"Kouroussa, Siguiri"</f>
        <v>Kouroussa, Siguiri</v>
      </c>
    </row>
    <row r="102" spans="2:13" x14ac:dyDescent="0.2">
      <c r="B102" s="207" t="str">
        <f>"23193"</f>
        <v>23193</v>
      </c>
      <c r="C102" s="208" t="s">
        <v>1757</v>
      </c>
      <c r="D102" s="209" t="str">
        <f>"AT/2022/049/MMG/DNM"</f>
        <v>AT/2022/049/MMG/DNM</v>
      </c>
      <c r="E102" s="210" t="s">
        <v>85</v>
      </c>
      <c r="F102" s="209" t="s">
        <v>1758</v>
      </c>
      <c r="G102" s="209" t="s">
        <v>1565</v>
      </c>
      <c r="H102" s="211">
        <v>44425</v>
      </c>
      <c r="I102" s="212">
        <v>44438.641979166663</v>
      </c>
      <c r="J102" s="211">
        <v>44442</v>
      </c>
      <c r="K102" s="211">
        <v>45051</v>
      </c>
      <c r="L102" s="209" t="s">
        <v>2981</v>
      </c>
      <c r="M102" s="213" t="str">
        <f>"Boke"</f>
        <v>Boke</v>
      </c>
    </row>
    <row r="103" spans="2:13" x14ac:dyDescent="0.2">
      <c r="B103" s="211" t="str">
        <f>"23194"</f>
        <v>23194</v>
      </c>
      <c r="C103" s="211" t="s">
        <v>1757</v>
      </c>
      <c r="D103" s="211" t="str">
        <f>"AT/2022/049/MMG/DNM"</f>
        <v>AT/2022/049/MMG/DNM</v>
      </c>
      <c r="E103" s="211" t="s">
        <v>85</v>
      </c>
      <c r="F103" s="211" t="s">
        <v>1758</v>
      </c>
      <c r="G103" s="211" t="s">
        <v>1565</v>
      </c>
      <c r="H103" s="211">
        <v>44425</v>
      </c>
      <c r="I103" s="212">
        <v>44438.665833333333</v>
      </c>
      <c r="J103" s="211">
        <v>44442</v>
      </c>
      <c r="K103" s="211">
        <v>44982</v>
      </c>
      <c r="L103" s="211" t="s">
        <v>2982</v>
      </c>
      <c r="M103" s="211" t="str">
        <f>"Boke"</f>
        <v>Boke</v>
      </c>
    </row>
    <row r="104" spans="2:13" x14ac:dyDescent="0.2">
      <c r="B104" s="207" t="str">
        <f>"23195"</f>
        <v>23195</v>
      </c>
      <c r="C104" s="208" t="s">
        <v>2967</v>
      </c>
      <c r="D104" s="209" t="s">
        <v>2983</v>
      </c>
      <c r="E104" s="210" t="s">
        <v>2735</v>
      </c>
      <c r="F104" s="209" t="s">
        <v>1594</v>
      </c>
      <c r="G104" s="209" t="s">
        <v>1565</v>
      </c>
      <c r="H104" s="211">
        <v>44327</v>
      </c>
      <c r="I104" s="212">
        <v>44327.500648148147</v>
      </c>
      <c r="J104" s="211">
        <v>44328</v>
      </c>
      <c r="K104" s="211">
        <v>46153</v>
      </c>
      <c r="L104" s="209" t="s">
        <v>2984</v>
      </c>
      <c r="M104" s="213" t="str">
        <f>"Coyah, Forecariah, Kindia"</f>
        <v>Coyah, Forecariah, Kindia</v>
      </c>
    </row>
    <row r="105" spans="2:13" x14ac:dyDescent="0.2">
      <c r="B105" s="207" t="str">
        <f>"23200"</f>
        <v>23200</v>
      </c>
      <c r="C105" s="208" t="s">
        <v>1745</v>
      </c>
      <c r="D105" s="209" t="str">
        <f>"AUT/2021/035/MMG/SGG"</f>
        <v>AUT/2021/035/MMG/SGG</v>
      </c>
      <c r="E105" s="210" t="s">
        <v>85</v>
      </c>
      <c r="F105" s="209" t="s">
        <v>644</v>
      </c>
      <c r="G105" s="209" t="s">
        <v>1565</v>
      </c>
      <c r="H105" s="211">
        <v>44378</v>
      </c>
      <c r="I105" s="212">
        <v>44449.476539351854</v>
      </c>
      <c r="J105" s="211">
        <v>44482</v>
      </c>
      <c r="K105" s="211">
        <v>44663</v>
      </c>
      <c r="L105" s="209" t="s">
        <v>2985</v>
      </c>
      <c r="M105" s="213" t="str">
        <f>"Koundara, Mali"</f>
        <v>Koundara, Mali</v>
      </c>
    </row>
    <row r="106" spans="2:13" x14ac:dyDescent="0.2">
      <c r="B106" s="207" t="str">
        <f>"23201"</f>
        <v>23201</v>
      </c>
      <c r="C106" s="208" t="s">
        <v>1745</v>
      </c>
      <c r="D106" s="209" t="str">
        <f>"AUT/2021/036/MMG/SGG"</f>
        <v>AUT/2021/036/MMG/SGG</v>
      </c>
      <c r="E106" s="210" t="s">
        <v>85</v>
      </c>
      <c r="F106" s="209" t="s">
        <v>644</v>
      </c>
      <c r="G106" s="209" t="s">
        <v>1565</v>
      </c>
      <c r="H106" s="211">
        <v>44378</v>
      </c>
      <c r="I106" s="212">
        <v>44449.491157407407</v>
      </c>
      <c r="J106" s="211">
        <v>44482</v>
      </c>
      <c r="K106" s="211">
        <v>44663</v>
      </c>
      <c r="L106" s="209" t="s">
        <v>2986</v>
      </c>
      <c r="M106" s="213" t="str">
        <f>"Koundara, Mali"</f>
        <v>Koundara, Mali</v>
      </c>
    </row>
    <row r="107" spans="2:13" x14ac:dyDescent="0.2">
      <c r="B107" s="207" t="str">
        <f>"23202"</f>
        <v>23202</v>
      </c>
      <c r="C107" s="208" t="s">
        <v>1745</v>
      </c>
      <c r="D107" s="209" t="str">
        <f>"AUT/2021/034/MMG/SGG"</f>
        <v>AUT/2021/034/MMG/SGG</v>
      </c>
      <c r="E107" s="210" t="s">
        <v>85</v>
      </c>
      <c r="F107" s="209" t="s">
        <v>644</v>
      </c>
      <c r="G107" s="209" t="s">
        <v>1565</v>
      </c>
      <c r="H107" s="211">
        <v>44378</v>
      </c>
      <c r="I107" s="212">
        <v>44449.506041666667</v>
      </c>
      <c r="J107" s="211">
        <v>44482</v>
      </c>
      <c r="K107" s="211">
        <v>44663</v>
      </c>
      <c r="L107" s="209" t="s">
        <v>2987</v>
      </c>
      <c r="M107" s="213" t="str">
        <f>"Koundara, Mali"</f>
        <v>Koundara, Mali</v>
      </c>
    </row>
    <row r="108" spans="2:13" x14ac:dyDescent="0.2">
      <c r="B108" s="207" t="str">
        <f>"23203"</f>
        <v>23203</v>
      </c>
      <c r="C108" s="208" t="s">
        <v>1745</v>
      </c>
      <c r="D108" s="209" t="str">
        <f>"AUT/2021/037/MMG/SGG"</f>
        <v>AUT/2021/037/MMG/SGG</v>
      </c>
      <c r="E108" s="210" t="s">
        <v>85</v>
      </c>
      <c r="F108" s="209" t="s">
        <v>644</v>
      </c>
      <c r="G108" s="209" t="s">
        <v>1565</v>
      </c>
      <c r="H108" s="211">
        <v>44378</v>
      </c>
      <c r="I108" s="212">
        <v>44449.51972222222</v>
      </c>
      <c r="J108" s="211">
        <v>44482</v>
      </c>
      <c r="K108" s="211">
        <v>44663</v>
      </c>
      <c r="L108" s="209" t="s">
        <v>2988</v>
      </c>
      <c r="M108" s="213" t="str">
        <f>"Koundara"</f>
        <v>Koundara</v>
      </c>
    </row>
    <row r="109" spans="2:13" x14ac:dyDescent="0.2">
      <c r="B109" s="207" t="str">
        <f>"23204"</f>
        <v>23204</v>
      </c>
      <c r="C109" s="208" t="s">
        <v>1745</v>
      </c>
      <c r="D109" s="209" t="str">
        <f>"AUT/2021/038/MMG/SGG"</f>
        <v>AUT/2021/038/MMG/SGG</v>
      </c>
      <c r="E109" s="210" t="s">
        <v>85</v>
      </c>
      <c r="F109" s="209" t="s">
        <v>644</v>
      </c>
      <c r="G109" s="209" t="s">
        <v>1565</v>
      </c>
      <c r="H109" s="211">
        <v>44378</v>
      </c>
      <c r="I109" s="212">
        <v>44449.531226851854</v>
      </c>
      <c r="J109" s="211">
        <v>44482</v>
      </c>
      <c r="K109" s="211">
        <v>44663</v>
      </c>
      <c r="L109" s="209" t="s">
        <v>2989</v>
      </c>
      <c r="M109" s="213" t="str">
        <f>"Mali"</f>
        <v>Mali</v>
      </c>
    </row>
    <row r="110" spans="2:13" x14ac:dyDescent="0.2">
      <c r="B110" s="207" t="str">
        <f>"23219"</f>
        <v>23219</v>
      </c>
      <c r="C110" s="208" t="s">
        <v>1766</v>
      </c>
      <c r="D110" s="209" t="str">
        <f>"AT/2021/028/MMG/DNM"</f>
        <v>AT/2021/028/MMG/DNM</v>
      </c>
      <c r="E110" s="210" t="s">
        <v>85</v>
      </c>
      <c r="F110" s="209" t="s">
        <v>644</v>
      </c>
      <c r="G110" s="209" t="s">
        <v>1565</v>
      </c>
      <c r="H110" s="211">
        <v>44461</v>
      </c>
      <c r="I110" s="212">
        <v>44468.699282407404</v>
      </c>
      <c r="J110" s="211">
        <v>44469</v>
      </c>
      <c r="K110" s="211">
        <v>44649</v>
      </c>
      <c r="L110" s="209" t="s">
        <v>2990</v>
      </c>
      <c r="M110" s="213" t="str">
        <f>"Dinguiraye,Kouroussa"</f>
        <v>Dinguiraye,Kouroussa</v>
      </c>
    </row>
    <row r="111" spans="2:13" x14ac:dyDescent="0.2">
      <c r="B111" s="207" t="str">
        <f>"23220"</f>
        <v>23220</v>
      </c>
      <c r="C111" s="208" t="s">
        <v>1764</v>
      </c>
      <c r="D111" s="209" t="str">
        <f>"AT/2021/030/MMG/DNM"</f>
        <v>AT/2021/030/MMG/DNM</v>
      </c>
      <c r="E111" s="210" t="s">
        <v>85</v>
      </c>
      <c r="F111" s="209" t="s">
        <v>644</v>
      </c>
      <c r="G111" s="209" t="s">
        <v>1565</v>
      </c>
      <c r="H111" s="211">
        <v>44463</v>
      </c>
      <c r="I111" s="212">
        <v>44469.434629629628</v>
      </c>
      <c r="J111" s="211">
        <v>44469</v>
      </c>
      <c r="K111" s="211">
        <v>44649</v>
      </c>
      <c r="L111" s="209" t="s">
        <v>2991</v>
      </c>
      <c r="M111" s="213" t="str">
        <f>"Mandiana"</f>
        <v>Mandiana</v>
      </c>
    </row>
    <row r="112" spans="2:13" x14ac:dyDescent="0.2">
      <c r="B112" s="207" t="str">
        <f>"23245"</f>
        <v>23245</v>
      </c>
      <c r="C112" s="208" t="s">
        <v>1574</v>
      </c>
      <c r="D112" s="209" t="str">
        <f>"N°21/044/MMG/DNM"</f>
        <v>N°21/044/MMG/DNM</v>
      </c>
      <c r="E112" s="210" t="s">
        <v>85</v>
      </c>
      <c r="F112" s="209" t="s">
        <v>1575</v>
      </c>
      <c r="G112" s="209" t="s">
        <v>1565</v>
      </c>
      <c r="H112" s="211">
        <v>44447</v>
      </c>
      <c r="I112" s="212">
        <v>44503.474560185183</v>
      </c>
      <c r="J112" s="211">
        <v>44510</v>
      </c>
      <c r="K112" s="211">
        <v>44690</v>
      </c>
      <c r="L112" s="209" t="s">
        <v>2992</v>
      </c>
      <c r="M112" s="213" t="str">
        <f>"Gaoual, Koundara"</f>
        <v>Gaoual, Koundara</v>
      </c>
    </row>
    <row r="113" spans="2:13" x14ac:dyDescent="0.2">
      <c r="B113" s="207" t="str">
        <f>"23258"</f>
        <v>23258</v>
      </c>
      <c r="C113" s="208" t="s">
        <v>1574</v>
      </c>
      <c r="D113" s="209" t="str">
        <f>"N°21/048/MMG/DNM"</f>
        <v>N°21/048/MMG/DNM</v>
      </c>
      <c r="E113" s="210" t="s">
        <v>85</v>
      </c>
      <c r="F113" s="209" t="s">
        <v>1575</v>
      </c>
      <c r="G113" s="209" t="s">
        <v>1565</v>
      </c>
      <c r="H113" s="211">
        <v>44502</v>
      </c>
      <c r="I113" s="212">
        <v>44515.630891203706</v>
      </c>
      <c r="J113" s="211">
        <v>44518</v>
      </c>
      <c r="K113" s="211">
        <v>44698</v>
      </c>
      <c r="L113" s="209" t="s">
        <v>2993</v>
      </c>
      <c r="M113" s="213" t="str">
        <f>"Gaoual, Mali"</f>
        <v>Gaoual, Mali</v>
      </c>
    </row>
    <row r="114" spans="2:13" x14ac:dyDescent="0.2">
      <c r="B114" s="207" t="str">
        <f>"23259"</f>
        <v>23259</v>
      </c>
      <c r="C114" s="208" t="s">
        <v>1761</v>
      </c>
      <c r="D114" s="209" t="str">
        <f>"AT/2022/049/MMG/DNM"</f>
        <v>AT/2022/049/MMG/DNM</v>
      </c>
      <c r="E114" s="210" t="s">
        <v>85</v>
      </c>
      <c r="F114" s="209" t="s">
        <v>1758</v>
      </c>
      <c r="G114" s="209" t="s">
        <v>1565</v>
      </c>
      <c r="H114" s="211">
        <v>44509</v>
      </c>
      <c r="I114" s="212">
        <v>44516.465891203705</v>
      </c>
      <c r="J114" s="211">
        <v>44518</v>
      </c>
      <c r="K114" s="211">
        <v>44698</v>
      </c>
      <c r="L114" s="209" t="s">
        <v>2994</v>
      </c>
      <c r="M114" s="213" t="str">
        <f>"Forecariah"</f>
        <v>Forecariah</v>
      </c>
    </row>
    <row r="115" spans="2:13" x14ac:dyDescent="0.2">
      <c r="B115" s="219" t="s">
        <v>2995</v>
      </c>
      <c r="C115" s="222" t="s">
        <v>2996</v>
      </c>
      <c r="D115" s="220" t="s">
        <v>2997</v>
      </c>
      <c r="E115" s="221" t="s">
        <v>85</v>
      </c>
      <c r="F115" s="219" t="s">
        <v>644</v>
      </c>
      <c r="G115" s="219" t="s">
        <v>1565</v>
      </c>
      <c r="H115" s="219"/>
      <c r="I115" s="221">
        <v>44532.637326388904</v>
      </c>
      <c r="J115" s="221">
        <v>44536</v>
      </c>
      <c r="K115" s="221">
        <v>44717</v>
      </c>
      <c r="L115" s="221" t="s">
        <v>2998</v>
      </c>
      <c r="M115" s="213" t="s">
        <v>2999</v>
      </c>
    </row>
    <row r="118" spans="2:13" x14ac:dyDescent="0.2">
      <c r="B118" s="205" t="s">
        <v>3000</v>
      </c>
    </row>
    <row r="119" spans="2:13" ht="20.25" x14ac:dyDescent="0.2">
      <c r="B119" s="206" t="s">
        <v>22</v>
      </c>
      <c r="C119" s="206" t="s">
        <v>3001</v>
      </c>
      <c r="D119" s="206" t="s">
        <v>3002</v>
      </c>
      <c r="E119" s="206" t="s">
        <v>3003</v>
      </c>
      <c r="F119" s="206" t="s">
        <v>3004</v>
      </c>
      <c r="G119" s="223" t="s">
        <v>3005</v>
      </c>
      <c r="H119" s="206" t="s">
        <v>3006</v>
      </c>
      <c r="I119" s="223" t="s">
        <v>3007</v>
      </c>
      <c r="J119" s="223" t="s">
        <v>3008</v>
      </c>
      <c r="K119" s="223" t="s">
        <v>1555</v>
      </c>
    </row>
    <row r="120" spans="2:13" x14ac:dyDescent="0.2">
      <c r="B120" s="207">
        <v>1</v>
      </c>
      <c r="C120" s="224" t="s">
        <v>3009</v>
      </c>
      <c r="D120" s="225" t="s">
        <v>3010</v>
      </c>
      <c r="E120" s="226" t="s">
        <v>3011</v>
      </c>
      <c r="F120" s="226" t="s">
        <v>3012</v>
      </c>
      <c r="G120" s="225" t="s">
        <v>3013</v>
      </c>
      <c r="H120" s="226" t="s">
        <v>3014</v>
      </c>
      <c r="I120" s="227">
        <v>44208</v>
      </c>
      <c r="J120" s="227">
        <v>44937</v>
      </c>
      <c r="K120" s="227" t="s">
        <v>78</v>
      </c>
    </row>
    <row r="121" spans="2:13" x14ac:dyDescent="0.2">
      <c r="B121" s="207">
        <v>2</v>
      </c>
      <c r="C121" s="224" t="s">
        <v>3015</v>
      </c>
      <c r="D121" s="225" t="s">
        <v>3016</v>
      </c>
      <c r="E121" s="226" t="s">
        <v>3011</v>
      </c>
      <c r="F121" s="226" t="s">
        <v>3017</v>
      </c>
      <c r="G121" s="225" t="s">
        <v>3018</v>
      </c>
      <c r="H121" s="226" t="s">
        <v>3019</v>
      </c>
      <c r="I121" s="227">
        <v>44208</v>
      </c>
      <c r="J121" s="227">
        <v>44937</v>
      </c>
      <c r="K121" s="227" t="s">
        <v>78</v>
      </c>
    </row>
    <row r="122" spans="2:13" x14ac:dyDescent="0.2">
      <c r="B122" s="207">
        <v>3</v>
      </c>
      <c r="C122" s="224" t="s">
        <v>3020</v>
      </c>
      <c r="D122" s="225" t="s">
        <v>3021</v>
      </c>
      <c r="E122" s="226" t="s">
        <v>3011</v>
      </c>
      <c r="F122" s="226" t="s">
        <v>3017</v>
      </c>
      <c r="G122" s="225" t="s">
        <v>3022</v>
      </c>
      <c r="H122" s="226">
        <v>5.0049999999999999</v>
      </c>
      <c r="I122" s="227">
        <v>44208</v>
      </c>
      <c r="J122" s="227">
        <v>44937</v>
      </c>
      <c r="K122" s="227" t="s">
        <v>78</v>
      </c>
    </row>
    <row r="123" spans="2:13" x14ac:dyDescent="0.2">
      <c r="B123" s="207">
        <v>4</v>
      </c>
      <c r="C123" s="224" t="s">
        <v>3023</v>
      </c>
      <c r="D123" s="225" t="s">
        <v>3024</v>
      </c>
      <c r="E123" s="226" t="s">
        <v>3011</v>
      </c>
      <c r="F123" s="226" t="s">
        <v>3012</v>
      </c>
      <c r="G123" s="225" t="s">
        <v>3013</v>
      </c>
      <c r="H123" s="226" t="s">
        <v>3025</v>
      </c>
      <c r="I123" s="227">
        <v>44208</v>
      </c>
      <c r="J123" s="227">
        <v>44937</v>
      </c>
      <c r="K123" s="227" t="s">
        <v>78</v>
      </c>
    </row>
    <row r="124" spans="2:13" x14ac:dyDescent="0.2">
      <c r="B124" s="207">
        <v>5</v>
      </c>
      <c r="C124" s="224" t="s">
        <v>3023</v>
      </c>
      <c r="D124" s="225" t="s">
        <v>3026</v>
      </c>
      <c r="E124" s="226" t="s">
        <v>3011</v>
      </c>
      <c r="F124" s="226" t="s">
        <v>3027</v>
      </c>
      <c r="G124" s="225" t="s">
        <v>3013</v>
      </c>
      <c r="H124" s="226" t="s">
        <v>3028</v>
      </c>
      <c r="I124" s="227">
        <v>44208</v>
      </c>
      <c r="J124" s="227">
        <v>44937</v>
      </c>
      <c r="K124" s="227" t="s">
        <v>78</v>
      </c>
    </row>
    <row r="125" spans="2:13" x14ac:dyDescent="0.2">
      <c r="B125" s="207">
        <v>6</v>
      </c>
      <c r="C125" s="224" t="s">
        <v>3023</v>
      </c>
      <c r="D125" s="225" t="s">
        <v>3029</v>
      </c>
      <c r="E125" s="226" t="s">
        <v>3011</v>
      </c>
      <c r="F125" s="226" t="s">
        <v>3027</v>
      </c>
      <c r="G125" s="225" t="s">
        <v>3013</v>
      </c>
      <c r="H125" s="226" t="s">
        <v>3030</v>
      </c>
      <c r="I125" s="227">
        <v>44208</v>
      </c>
      <c r="J125" s="227">
        <v>44937</v>
      </c>
      <c r="K125" s="227" t="s">
        <v>78</v>
      </c>
    </row>
    <row r="126" spans="2:13" x14ac:dyDescent="0.2">
      <c r="B126" s="207">
        <v>7</v>
      </c>
      <c r="C126" s="224" t="s">
        <v>3023</v>
      </c>
      <c r="D126" s="225" t="s">
        <v>3031</v>
      </c>
      <c r="E126" s="226" t="s">
        <v>3011</v>
      </c>
      <c r="F126" s="226" t="s">
        <v>3017</v>
      </c>
      <c r="G126" s="225" t="s">
        <v>3018</v>
      </c>
      <c r="H126" s="226" t="s">
        <v>3032</v>
      </c>
      <c r="I126" s="227">
        <v>44208</v>
      </c>
      <c r="J126" s="227">
        <v>44937</v>
      </c>
      <c r="K126" s="227" t="s">
        <v>78</v>
      </c>
    </row>
    <row r="127" spans="2:13" x14ac:dyDescent="0.2">
      <c r="B127" s="207">
        <v>8</v>
      </c>
      <c r="C127" s="224" t="s">
        <v>3033</v>
      </c>
      <c r="D127" s="225" t="s">
        <v>3034</v>
      </c>
      <c r="E127" s="226" t="s">
        <v>3011</v>
      </c>
      <c r="F127" s="226" t="s">
        <v>644</v>
      </c>
      <c r="G127" s="225" t="s">
        <v>3035</v>
      </c>
      <c r="H127" s="226" t="s">
        <v>3036</v>
      </c>
      <c r="I127" s="227">
        <v>44208</v>
      </c>
      <c r="J127" s="227">
        <v>44937</v>
      </c>
      <c r="K127" s="227" t="s">
        <v>154</v>
      </c>
    </row>
    <row r="128" spans="2:13" x14ac:dyDescent="0.2">
      <c r="B128" s="207">
        <v>9</v>
      </c>
      <c r="C128" s="224" t="s">
        <v>3037</v>
      </c>
      <c r="D128" s="225" t="s">
        <v>3038</v>
      </c>
      <c r="E128" s="226" t="s">
        <v>3011</v>
      </c>
      <c r="F128" s="226" t="s">
        <v>644</v>
      </c>
      <c r="G128" s="225" t="s">
        <v>3035</v>
      </c>
      <c r="H128" s="226" t="s">
        <v>3039</v>
      </c>
      <c r="I128" s="227">
        <v>44208</v>
      </c>
      <c r="J128" s="227">
        <v>44937</v>
      </c>
      <c r="K128" s="227" t="s">
        <v>154</v>
      </c>
    </row>
    <row r="129" spans="2:11" x14ac:dyDescent="0.2">
      <c r="B129" s="207">
        <v>10</v>
      </c>
      <c r="C129" s="224" t="s">
        <v>3040</v>
      </c>
      <c r="D129" s="225" t="s">
        <v>3041</v>
      </c>
      <c r="E129" s="226" t="s">
        <v>3011</v>
      </c>
      <c r="F129" s="226" t="s">
        <v>644</v>
      </c>
      <c r="G129" s="225" t="s">
        <v>3042</v>
      </c>
      <c r="H129" s="226" t="s">
        <v>3043</v>
      </c>
      <c r="I129" s="227">
        <v>44208</v>
      </c>
      <c r="J129" s="227">
        <v>44937</v>
      </c>
      <c r="K129" s="227" t="s">
        <v>154</v>
      </c>
    </row>
    <row r="130" spans="2:11" x14ac:dyDescent="0.2">
      <c r="B130" s="207">
        <v>11</v>
      </c>
      <c r="C130" s="224" t="s">
        <v>3044</v>
      </c>
      <c r="D130" s="225" t="s">
        <v>3045</v>
      </c>
      <c r="E130" s="226" t="s">
        <v>3011</v>
      </c>
      <c r="F130" s="226" t="s">
        <v>644</v>
      </c>
      <c r="G130" s="225" t="s">
        <v>3035</v>
      </c>
      <c r="H130" s="226" t="s">
        <v>3046</v>
      </c>
      <c r="I130" s="227">
        <v>44223</v>
      </c>
      <c r="J130" s="227">
        <v>44952</v>
      </c>
      <c r="K130" s="227" t="s">
        <v>154</v>
      </c>
    </row>
    <row r="131" spans="2:11" x14ac:dyDescent="0.2">
      <c r="B131" s="207">
        <v>12</v>
      </c>
      <c r="C131" s="224" t="s">
        <v>1924</v>
      </c>
      <c r="D131" s="225" t="s">
        <v>3047</v>
      </c>
      <c r="E131" s="226" t="s">
        <v>3011</v>
      </c>
      <c r="F131" s="226" t="s">
        <v>644</v>
      </c>
      <c r="G131" s="225" t="s">
        <v>3048</v>
      </c>
      <c r="H131" s="226" t="s">
        <v>3049</v>
      </c>
      <c r="I131" s="227">
        <v>44243</v>
      </c>
      <c r="J131" s="227">
        <v>44972</v>
      </c>
      <c r="K131" s="227" t="s">
        <v>154</v>
      </c>
    </row>
    <row r="132" spans="2:11" x14ac:dyDescent="0.2">
      <c r="B132" s="207">
        <v>13</v>
      </c>
      <c r="C132" s="224" t="s">
        <v>3050</v>
      </c>
      <c r="D132" s="225" t="s">
        <v>3051</v>
      </c>
      <c r="E132" s="226" t="s">
        <v>3011</v>
      </c>
      <c r="F132" s="226" t="s">
        <v>644</v>
      </c>
      <c r="G132" s="225" t="s">
        <v>3048</v>
      </c>
      <c r="H132" s="226" t="s">
        <v>3052</v>
      </c>
      <c r="I132" s="227">
        <v>44243</v>
      </c>
      <c r="J132" s="227">
        <v>44972</v>
      </c>
      <c r="K132" s="227" t="s">
        <v>154</v>
      </c>
    </row>
    <row r="133" spans="2:11" x14ac:dyDescent="0.2">
      <c r="B133" s="207">
        <v>14</v>
      </c>
      <c r="C133" s="224" t="s">
        <v>3053</v>
      </c>
      <c r="D133" s="225" t="s">
        <v>3054</v>
      </c>
      <c r="E133" s="226" t="s">
        <v>3011</v>
      </c>
      <c r="F133" s="226" t="s">
        <v>644</v>
      </c>
      <c r="G133" s="225" t="s">
        <v>3048</v>
      </c>
      <c r="H133" s="226" t="s">
        <v>3055</v>
      </c>
      <c r="I133" s="227">
        <v>44243</v>
      </c>
      <c r="J133" s="227">
        <v>44972</v>
      </c>
      <c r="K133" s="227" t="s">
        <v>154</v>
      </c>
    </row>
    <row r="134" spans="2:11" x14ac:dyDescent="0.2">
      <c r="B134" s="207">
        <v>15</v>
      </c>
      <c r="C134" s="224" t="s">
        <v>3056</v>
      </c>
      <c r="D134" s="225" t="s">
        <v>3045</v>
      </c>
      <c r="E134" s="226" t="s">
        <v>3011</v>
      </c>
      <c r="F134" s="226" t="s">
        <v>644</v>
      </c>
      <c r="G134" s="225" t="s">
        <v>3035</v>
      </c>
      <c r="H134" s="226" t="s">
        <v>3057</v>
      </c>
      <c r="I134" s="227">
        <v>44249</v>
      </c>
      <c r="J134" s="227">
        <v>44978</v>
      </c>
      <c r="K134" s="227" t="s">
        <v>154</v>
      </c>
    </row>
    <row r="135" spans="2:11" x14ac:dyDescent="0.2">
      <c r="B135" s="207">
        <v>16</v>
      </c>
      <c r="C135" s="224" t="s">
        <v>467</v>
      </c>
      <c r="D135" s="225" t="s">
        <v>3058</v>
      </c>
      <c r="E135" s="226" t="s">
        <v>3011</v>
      </c>
      <c r="F135" s="226" t="s">
        <v>1568</v>
      </c>
      <c r="G135" s="225" t="s">
        <v>3059</v>
      </c>
      <c r="H135" s="226" t="s">
        <v>3060</v>
      </c>
      <c r="I135" s="227">
        <v>44258</v>
      </c>
      <c r="J135" s="227">
        <v>44987</v>
      </c>
      <c r="K135" s="227" t="s">
        <v>254</v>
      </c>
    </row>
    <row r="136" spans="2:11" x14ac:dyDescent="0.2">
      <c r="B136" s="207">
        <v>17</v>
      </c>
      <c r="C136" s="224" t="s">
        <v>2522</v>
      </c>
      <c r="D136" s="225" t="s">
        <v>3061</v>
      </c>
      <c r="E136" s="226" t="s">
        <v>3062</v>
      </c>
      <c r="F136" s="226" t="s">
        <v>3017</v>
      </c>
      <c r="G136" s="225" t="s">
        <v>3018</v>
      </c>
      <c r="H136" s="226" t="s">
        <v>3063</v>
      </c>
      <c r="I136" s="227">
        <v>44258</v>
      </c>
      <c r="J136" s="227">
        <v>44987</v>
      </c>
      <c r="K136" s="227" t="s">
        <v>78</v>
      </c>
    </row>
    <row r="137" spans="2:11" x14ac:dyDescent="0.2">
      <c r="B137" s="207">
        <v>18</v>
      </c>
      <c r="C137" s="224" t="s">
        <v>1875</v>
      </c>
      <c r="D137" s="225" t="s">
        <v>3064</v>
      </c>
      <c r="E137" s="226" t="s">
        <v>3011</v>
      </c>
      <c r="F137" s="226" t="s">
        <v>644</v>
      </c>
      <c r="G137" s="225" t="s">
        <v>3042</v>
      </c>
      <c r="H137" s="226">
        <v>54.05</v>
      </c>
      <c r="I137" s="227">
        <v>44258</v>
      </c>
      <c r="J137" s="227">
        <v>44987</v>
      </c>
      <c r="K137" s="227" t="s">
        <v>154</v>
      </c>
    </row>
    <row r="138" spans="2:11" x14ac:dyDescent="0.2">
      <c r="B138" s="207">
        <v>19</v>
      </c>
      <c r="C138" s="224" t="s">
        <v>3065</v>
      </c>
      <c r="D138" s="225" t="s">
        <v>3066</v>
      </c>
      <c r="E138" s="226" t="s">
        <v>3011</v>
      </c>
      <c r="F138" s="226" t="s">
        <v>644</v>
      </c>
      <c r="G138" s="225" t="s">
        <v>3048</v>
      </c>
      <c r="H138" s="226" t="s">
        <v>3067</v>
      </c>
      <c r="I138" s="227">
        <v>44243</v>
      </c>
      <c r="J138" s="227">
        <v>44972</v>
      </c>
      <c r="K138" s="227" t="s">
        <v>154</v>
      </c>
    </row>
    <row r="139" spans="2:11" x14ac:dyDescent="0.2">
      <c r="B139" s="207">
        <v>20</v>
      </c>
      <c r="C139" s="224" t="s">
        <v>3068</v>
      </c>
      <c r="D139" s="225" t="s">
        <v>3069</v>
      </c>
      <c r="E139" s="226" t="s">
        <v>3011</v>
      </c>
      <c r="F139" s="226" t="s">
        <v>3012</v>
      </c>
      <c r="G139" s="225" t="s">
        <v>3070</v>
      </c>
      <c r="H139" s="226" t="s">
        <v>3071</v>
      </c>
      <c r="I139" s="227">
        <v>44271</v>
      </c>
      <c r="J139" s="227">
        <v>45000</v>
      </c>
      <c r="K139" s="227" t="s">
        <v>78</v>
      </c>
    </row>
    <row r="140" spans="2:11" x14ac:dyDescent="0.2">
      <c r="B140" s="207">
        <v>21</v>
      </c>
      <c r="C140" s="224" t="s">
        <v>3072</v>
      </c>
      <c r="D140" s="225" t="s">
        <v>3073</v>
      </c>
      <c r="E140" s="226" t="s">
        <v>3011</v>
      </c>
      <c r="F140" s="226" t="s">
        <v>3017</v>
      </c>
      <c r="G140" s="225" t="s">
        <v>3018</v>
      </c>
      <c r="H140" s="226" t="s">
        <v>3074</v>
      </c>
      <c r="I140" s="227">
        <v>44280</v>
      </c>
      <c r="J140" s="227">
        <v>45009</v>
      </c>
      <c r="K140" s="227" t="s">
        <v>78</v>
      </c>
    </row>
    <row r="141" spans="2:11" x14ac:dyDescent="0.2">
      <c r="B141" s="207">
        <v>22</v>
      </c>
      <c r="C141" s="224" t="s">
        <v>3072</v>
      </c>
      <c r="D141" s="225" t="s">
        <v>3075</v>
      </c>
      <c r="E141" s="226" t="s">
        <v>3011</v>
      </c>
      <c r="F141" s="226" t="s">
        <v>3017</v>
      </c>
      <c r="G141" s="225" t="s">
        <v>3018</v>
      </c>
      <c r="H141" s="226" t="s">
        <v>3076</v>
      </c>
      <c r="I141" s="227">
        <v>44280</v>
      </c>
      <c r="J141" s="227">
        <v>45009</v>
      </c>
      <c r="K141" s="227" t="s">
        <v>78</v>
      </c>
    </row>
    <row r="142" spans="2:11" x14ac:dyDescent="0.2">
      <c r="B142" s="207">
        <v>23</v>
      </c>
      <c r="C142" s="224" t="s">
        <v>3077</v>
      </c>
      <c r="D142" s="225" t="s">
        <v>3078</v>
      </c>
      <c r="E142" s="226" t="s">
        <v>3011</v>
      </c>
      <c r="F142" s="226" t="s">
        <v>3017</v>
      </c>
      <c r="G142" s="225" t="s">
        <v>787</v>
      </c>
      <c r="H142" s="226" t="s">
        <v>3079</v>
      </c>
      <c r="I142" s="227">
        <v>44288</v>
      </c>
      <c r="J142" s="227">
        <v>45017</v>
      </c>
      <c r="K142" s="227" t="s">
        <v>78</v>
      </c>
    </row>
    <row r="143" spans="2:11" x14ac:dyDescent="0.2">
      <c r="B143" s="207">
        <v>24</v>
      </c>
      <c r="C143" s="224" t="s">
        <v>3080</v>
      </c>
      <c r="D143" s="225" t="s">
        <v>3081</v>
      </c>
      <c r="E143" s="226" t="s">
        <v>3011</v>
      </c>
      <c r="F143" s="226" t="s">
        <v>3012</v>
      </c>
      <c r="G143" s="225" t="s">
        <v>3070</v>
      </c>
      <c r="H143" s="226" t="s">
        <v>3082</v>
      </c>
      <c r="I143" s="227">
        <v>44306</v>
      </c>
      <c r="J143" s="227">
        <v>45035</v>
      </c>
      <c r="K143" s="227" t="s">
        <v>78</v>
      </c>
    </row>
    <row r="144" spans="2:11" x14ac:dyDescent="0.2">
      <c r="B144" s="207">
        <v>25</v>
      </c>
      <c r="C144" s="224" t="s">
        <v>3083</v>
      </c>
      <c r="D144" s="225" t="s">
        <v>3084</v>
      </c>
      <c r="E144" s="226" t="s">
        <v>3011</v>
      </c>
      <c r="F144" s="226" t="s">
        <v>3012</v>
      </c>
      <c r="G144" s="225" t="s">
        <v>3070</v>
      </c>
      <c r="H144" s="226" t="s">
        <v>3085</v>
      </c>
      <c r="I144" s="227">
        <v>44306</v>
      </c>
      <c r="J144" s="227">
        <v>45035</v>
      </c>
      <c r="K144" s="227" t="s">
        <v>78</v>
      </c>
    </row>
    <row r="145" spans="2:11" x14ac:dyDescent="0.2">
      <c r="B145" s="207">
        <v>26</v>
      </c>
      <c r="C145" s="224" t="s">
        <v>3086</v>
      </c>
      <c r="D145" s="225" t="s">
        <v>3087</v>
      </c>
      <c r="E145" s="226" t="s">
        <v>3011</v>
      </c>
      <c r="F145" s="226" t="s">
        <v>644</v>
      </c>
      <c r="G145" s="225" t="s">
        <v>3035</v>
      </c>
      <c r="H145" s="226">
        <v>44.981299999999997</v>
      </c>
      <c r="I145" s="227">
        <v>44306</v>
      </c>
      <c r="J145" s="227">
        <v>45035</v>
      </c>
      <c r="K145" s="227" t="s">
        <v>154</v>
      </c>
    </row>
    <row r="146" spans="2:11" x14ac:dyDescent="0.2">
      <c r="B146" s="207">
        <v>27</v>
      </c>
      <c r="C146" s="224" t="s">
        <v>3086</v>
      </c>
      <c r="D146" s="225" t="s">
        <v>3088</v>
      </c>
      <c r="E146" s="226" t="s">
        <v>3011</v>
      </c>
      <c r="F146" s="226" t="s">
        <v>644</v>
      </c>
      <c r="G146" s="225" t="s">
        <v>3042</v>
      </c>
      <c r="H146" s="226">
        <v>51.297499999999999</v>
      </c>
      <c r="I146" s="227">
        <v>44306</v>
      </c>
      <c r="J146" s="227">
        <v>45035</v>
      </c>
      <c r="K146" s="227" t="s">
        <v>154</v>
      </c>
    </row>
    <row r="147" spans="2:11" x14ac:dyDescent="0.2">
      <c r="B147" s="207">
        <v>28</v>
      </c>
      <c r="C147" s="224" t="s">
        <v>682</v>
      </c>
      <c r="D147" s="225" t="s">
        <v>3089</v>
      </c>
      <c r="E147" s="226" t="s">
        <v>3011</v>
      </c>
      <c r="F147" s="226" t="s">
        <v>640</v>
      </c>
      <c r="G147" s="225" t="s">
        <v>3090</v>
      </c>
      <c r="H147" s="226">
        <v>20.474699999999999</v>
      </c>
      <c r="I147" s="227">
        <v>44306</v>
      </c>
      <c r="J147" s="227">
        <v>45035</v>
      </c>
      <c r="K147" s="227" t="s">
        <v>1820</v>
      </c>
    </row>
    <row r="148" spans="2:11" x14ac:dyDescent="0.2">
      <c r="B148" s="207">
        <v>29</v>
      </c>
      <c r="C148" s="224" t="s">
        <v>1802</v>
      </c>
      <c r="D148" s="225" t="s">
        <v>3091</v>
      </c>
      <c r="E148" s="226" t="s">
        <v>3011</v>
      </c>
      <c r="F148" s="226" t="s">
        <v>3012</v>
      </c>
      <c r="G148" s="225" t="s">
        <v>3092</v>
      </c>
      <c r="H148" s="226" t="s">
        <v>3093</v>
      </c>
      <c r="I148" s="227">
        <v>44309</v>
      </c>
      <c r="J148" s="227">
        <v>45038</v>
      </c>
      <c r="K148" s="227" t="s">
        <v>78</v>
      </c>
    </row>
    <row r="149" spans="2:11" x14ac:dyDescent="0.2">
      <c r="B149" s="207">
        <v>30</v>
      </c>
      <c r="C149" s="224" t="s">
        <v>3094</v>
      </c>
      <c r="D149" s="225" t="s">
        <v>3095</v>
      </c>
      <c r="E149" s="226" t="s">
        <v>3062</v>
      </c>
      <c r="F149" s="226" t="s">
        <v>3096</v>
      </c>
      <c r="G149" s="225" t="s">
        <v>3042</v>
      </c>
      <c r="H149" s="226">
        <v>98.898200000000003</v>
      </c>
      <c r="I149" s="227">
        <v>44333</v>
      </c>
      <c r="J149" s="227">
        <v>45062</v>
      </c>
      <c r="K149" s="227" t="s">
        <v>154</v>
      </c>
    </row>
    <row r="150" spans="2:11" x14ac:dyDescent="0.2">
      <c r="B150" s="207">
        <v>31</v>
      </c>
      <c r="C150" s="224" t="s">
        <v>1932</v>
      </c>
      <c r="D150" s="225" t="s">
        <v>3097</v>
      </c>
      <c r="E150" s="226" t="s">
        <v>3011</v>
      </c>
      <c r="F150" s="226" t="s">
        <v>644</v>
      </c>
      <c r="G150" s="225" t="s">
        <v>3042</v>
      </c>
      <c r="H150" s="226">
        <v>64.819999999999993</v>
      </c>
      <c r="I150" s="227">
        <v>44351</v>
      </c>
      <c r="J150" s="227">
        <v>45080</v>
      </c>
      <c r="K150" s="227" t="s">
        <v>154</v>
      </c>
    </row>
    <row r="151" spans="2:11" x14ac:dyDescent="0.2">
      <c r="B151" s="207">
        <v>32</v>
      </c>
      <c r="C151" s="224" t="s">
        <v>3098</v>
      </c>
      <c r="D151" s="225" t="s">
        <v>3099</v>
      </c>
      <c r="E151" s="226" t="s">
        <v>3011</v>
      </c>
      <c r="F151" s="226" t="s">
        <v>1769</v>
      </c>
      <c r="G151" s="225" t="s">
        <v>3100</v>
      </c>
      <c r="H151" s="226" t="s">
        <v>3101</v>
      </c>
      <c r="I151" s="227">
        <v>44375</v>
      </c>
      <c r="J151" s="227">
        <v>45104</v>
      </c>
      <c r="K151" s="227" t="s">
        <v>78</v>
      </c>
    </row>
    <row r="152" spans="2:11" x14ac:dyDescent="0.2">
      <c r="B152" s="207">
        <v>33</v>
      </c>
      <c r="C152" s="224" t="s">
        <v>3098</v>
      </c>
      <c r="D152" s="225" t="s">
        <v>3102</v>
      </c>
      <c r="E152" s="226" t="s">
        <v>3011</v>
      </c>
      <c r="F152" s="226" t="s">
        <v>1769</v>
      </c>
      <c r="G152" s="225" t="s">
        <v>3103</v>
      </c>
      <c r="H152" s="226" t="s">
        <v>3104</v>
      </c>
      <c r="I152" s="227">
        <v>44375</v>
      </c>
      <c r="J152" s="227">
        <v>45104</v>
      </c>
      <c r="K152" s="227" t="s">
        <v>78</v>
      </c>
    </row>
    <row r="153" spans="2:11" x14ac:dyDescent="0.2">
      <c r="B153" s="207">
        <v>34</v>
      </c>
      <c r="C153" s="224" t="s">
        <v>3098</v>
      </c>
      <c r="D153" s="225" t="s">
        <v>3105</v>
      </c>
      <c r="E153" s="226" t="s">
        <v>3011</v>
      </c>
      <c r="F153" s="226" t="s">
        <v>1769</v>
      </c>
      <c r="G153" s="225" t="s">
        <v>3100</v>
      </c>
      <c r="H153" s="226" t="s">
        <v>3106</v>
      </c>
      <c r="I153" s="227">
        <v>44375</v>
      </c>
      <c r="J153" s="227">
        <v>45104</v>
      </c>
      <c r="K153" s="227" t="s">
        <v>78</v>
      </c>
    </row>
    <row r="154" spans="2:11" x14ac:dyDescent="0.2">
      <c r="B154" s="207">
        <v>35</v>
      </c>
      <c r="C154" s="224" t="s">
        <v>2231</v>
      </c>
      <c r="D154" s="225" t="s">
        <v>3107</v>
      </c>
      <c r="E154" s="226" t="s">
        <v>3011</v>
      </c>
      <c r="F154" s="226" t="s">
        <v>644</v>
      </c>
      <c r="G154" s="225" t="s">
        <v>3092</v>
      </c>
      <c r="H154" s="226">
        <v>57.429499999999997</v>
      </c>
      <c r="I154" s="227">
        <v>44375</v>
      </c>
      <c r="J154" s="227">
        <v>45104</v>
      </c>
      <c r="K154" s="227" t="s">
        <v>154</v>
      </c>
    </row>
    <row r="155" spans="2:11" x14ac:dyDescent="0.2">
      <c r="B155" s="207">
        <v>36</v>
      </c>
      <c r="C155" s="224" t="s">
        <v>2231</v>
      </c>
      <c r="D155" s="225" t="s">
        <v>3108</v>
      </c>
      <c r="E155" s="226" t="s">
        <v>3011</v>
      </c>
      <c r="F155" s="226" t="s">
        <v>644</v>
      </c>
      <c r="G155" s="225" t="s">
        <v>3092</v>
      </c>
      <c r="H155" s="226">
        <v>49.933799999999998</v>
      </c>
      <c r="I155" s="227">
        <v>44375</v>
      </c>
      <c r="J155" s="227">
        <v>45104</v>
      </c>
      <c r="K155" s="227" t="s">
        <v>154</v>
      </c>
    </row>
    <row r="156" spans="2:11" x14ac:dyDescent="0.2">
      <c r="B156" s="207">
        <v>37</v>
      </c>
      <c r="C156" s="224" t="s">
        <v>3109</v>
      </c>
      <c r="D156" s="225" t="s">
        <v>3110</v>
      </c>
      <c r="E156" s="226" t="s">
        <v>3011</v>
      </c>
      <c r="F156" s="226" t="s">
        <v>1568</v>
      </c>
      <c r="G156" s="225" t="s">
        <v>3100</v>
      </c>
      <c r="H156" s="226">
        <v>251.9299</v>
      </c>
      <c r="I156" s="227">
        <v>44375</v>
      </c>
      <c r="J156" s="227">
        <v>45104</v>
      </c>
      <c r="K156" s="227" t="s">
        <v>254</v>
      </c>
    </row>
    <row r="157" spans="2:11" x14ac:dyDescent="0.2">
      <c r="B157" s="207">
        <v>38</v>
      </c>
      <c r="C157" s="224" t="s">
        <v>3111</v>
      </c>
      <c r="D157" s="225" t="s">
        <v>3112</v>
      </c>
      <c r="E157" s="226" t="s">
        <v>3011</v>
      </c>
      <c r="F157" s="226" t="s">
        <v>644</v>
      </c>
      <c r="G157" s="225" t="s">
        <v>3042</v>
      </c>
      <c r="H157" s="226">
        <v>50.68</v>
      </c>
      <c r="I157" s="227">
        <v>44375</v>
      </c>
      <c r="J157" s="227">
        <v>45104</v>
      </c>
      <c r="K157" s="227" t="s">
        <v>154</v>
      </c>
    </row>
    <row r="158" spans="2:11" x14ac:dyDescent="0.2">
      <c r="B158" s="207">
        <v>39</v>
      </c>
      <c r="C158" s="224" t="s">
        <v>3113</v>
      </c>
      <c r="D158" s="225" t="s">
        <v>3114</v>
      </c>
      <c r="E158" s="226" t="s">
        <v>3011</v>
      </c>
      <c r="F158" s="226" t="s">
        <v>3017</v>
      </c>
      <c r="G158" s="225" t="s">
        <v>787</v>
      </c>
      <c r="H158" s="226" t="s">
        <v>3115</v>
      </c>
      <c r="I158" s="227">
        <v>44383</v>
      </c>
      <c r="J158" s="227">
        <v>45143</v>
      </c>
      <c r="K158" s="227" t="s">
        <v>78</v>
      </c>
    </row>
    <row r="159" spans="2:11" x14ac:dyDescent="0.2">
      <c r="B159" s="207">
        <v>40</v>
      </c>
      <c r="C159" s="224" t="s">
        <v>3116</v>
      </c>
      <c r="D159" s="225" t="s">
        <v>3117</v>
      </c>
      <c r="E159" s="226" t="s">
        <v>3011</v>
      </c>
      <c r="F159" s="226" t="s">
        <v>3096</v>
      </c>
      <c r="G159" s="225" t="s">
        <v>3035</v>
      </c>
      <c r="H159" s="226" t="s">
        <v>3118</v>
      </c>
      <c r="I159" s="227">
        <v>44433</v>
      </c>
      <c r="J159" s="227">
        <v>45162</v>
      </c>
      <c r="K159" s="227" t="s">
        <v>154</v>
      </c>
    </row>
    <row r="160" spans="2:11" x14ac:dyDescent="0.2">
      <c r="B160" s="207">
        <v>41</v>
      </c>
      <c r="C160" s="224" t="s">
        <v>3119</v>
      </c>
      <c r="D160" s="225" t="s">
        <v>3120</v>
      </c>
      <c r="E160" s="226" t="s">
        <v>3011</v>
      </c>
      <c r="F160" s="226" t="s">
        <v>3017</v>
      </c>
      <c r="G160" s="225" t="s">
        <v>3018</v>
      </c>
      <c r="H160" s="226" t="s">
        <v>3121</v>
      </c>
      <c r="I160" s="227">
        <v>44433</v>
      </c>
      <c r="J160" s="227">
        <v>45162</v>
      </c>
      <c r="K160" s="227" t="s">
        <v>78</v>
      </c>
    </row>
    <row r="161" spans="2:15" x14ac:dyDescent="0.2">
      <c r="B161" s="207">
        <v>42</v>
      </c>
      <c r="C161" s="224" t="s">
        <v>1855</v>
      </c>
      <c r="D161" s="225" t="s">
        <v>3122</v>
      </c>
      <c r="E161" s="226" t="s">
        <v>3011</v>
      </c>
      <c r="F161" s="226" t="s">
        <v>3123</v>
      </c>
      <c r="G161" s="225" t="s">
        <v>3124</v>
      </c>
      <c r="H161" s="226" t="s">
        <v>3125</v>
      </c>
      <c r="I161" s="227">
        <v>44433</v>
      </c>
      <c r="J161" s="227">
        <v>45162</v>
      </c>
      <c r="K161" s="227" t="s">
        <v>254</v>
      </c>
    </row>
    <row r="162" spans="2:15" x14ac:dyDescent="0.2">
      <c r="B162" s="207">
        <v>43</v>
      </c>
      <c r="C162" s="224" t="s">
        <v>3126</v>
      </c>
      <c r="D162" s="225" t="s">
        <v>3127</v>
      </c>
      <c r="E162" s="226" t="s">
        <v>3011</v>
      </c>
      <c r="F162" s="226" t="s">
        <v>3012</v>
      </c>
      <c r="G162" s="225" t="s">
        <v>3070</v>
      </c>
      <c r="H162" s="226" t="s">
        <v>3128</v>
      </c>
      <c r="I162" s="227">
        <v>44433</v>
      </c>
      <c r="J162" s="227">
        <v>45162</v>
      </c>
      <c r="K162" s="227" t="s">
        <v>78</v>
      </c>
    </row>
    <row r="163" spans="2:15" x14ac:dyDescent="0.2">
      <c r="B163" s="207">
        <v>44</v>
      </c>
      <c r="C163" s="224" t="s">
        <v>3129</v>
      </c>
      <c r="D163" s="225" t="s">
        <v>3130</v>
      </c>
      <c r="E163" s="226" t="s">
        <v>3011</v>
      </c>
      <c r="F163" s="226" t="s">
        <v>3012</v>
      </c>
      <c r="G163" s="225" t="s">
        <v>3070</v>
      </c>
      <c r="H163" s="226" t="s">
        <v>3131</v>
      </c>
      <c r="I163" s="227">
        <v>44433</v>
      </c>
      <c r="J163" s="227">
        <v>45162</v>
      </c>
      <c r="K163" s="227" t="s">
        <v>78</v>
      </c>
    </row>
    <row r="164" spans="2:15" x14ac:dyDescent="0.2">
      <c r="B164" s="207">
        <v>45</v>
      </c>
      <c r="C164" s="224" t="s">
        <v>3132</v>
      </c>
      <c r="D164" s="225" t="s">
        <v>3133</v>
      </c>
      <c r="E164" s="226" t="s">
        <v>3011</v>
      </c>
      <c r="F164" s="226" t="s">
        <v>3012</v>
      </c>
      <c r="G164" s="225" t="s">
        <v>3070</v>
      </c>
      <c r="H164" s="226" t="s">
        <v>3134</v>
      </c>
      <c r="I164" s="227">
        <v>44433</v>
      </c>
      <c r="J164" s="227">
        <v>45162</v>
      </c>
      <c r="K164" s="227" t="s">
        <v>78</v>
      </c>
    </row>
    <row r="165" spans="2:15" x14ac:dyDescent="0.2">
      <c r="B165" s="207">
        <v>46</v>
      </c>
      <c r="C165" s="224" t="s">
        <v>3135</v>
      </c>
      <c r="D165" s="225" t="s">
        <v>3136</v>
      </c>
      <c r="E165" s="226" t="s">
        <v>3011</v>
      </c>
      <c r="F165" s="226" t="s">
        <v>3096</v>
      </c>
      <c r="G165" s="225" t="s">
        <v>3048</v>
      </c>
      <c r="H165" s="226" t="s">
        <v>3137</v>
      </c>
      <c r="I165" s="227">
        <v>44433</v>
      </c>
      <c r="J165" s="227">
        <v>45162</v>
      </c>
      <c r="K165" s="227" t="s">
        <v>154</v>
      </c>
    </row>
    <row r="168" spans="2:15" x14ac:dyDescent="0.2">
      <c r="B168" s="205" t="s">
        <v>3138</v>
      </c>
    </row>
    <row r="169" spans="2:15" ht="20.25" x14ac:dyDescent="0.2">
      <c r="B169" s="230" t="s">
        <v>1552</v>
      </c>
      <c r="C169" s="231" t="s">
        <v>3139</v>
      </c>
      <c r="D169" s="230" t="s">
        <v>3140</v>
      </c>
      <c r="E169" s="230" t="s">
        <v>3141</v>
      </c>
      <c r="F169" s="230" t="s">
        <v>1556</v>
      </c>
      <c r="G169" s="230" t="s">
        <v>1557</v>
      </c>
      <c r="H169" s="230" t="s">
        <v>750</v>
      </c>
      <c r="I169" s="230" t="s">
        <v>1561</v>
      </c>
      <c r="J169" s="230" t="s">
        <v>1558</v>
      </c>
      <c r="K169" s="230" t="s">
        <v>1559</v>
      </c>
      <c r="L169" s="230" t="s">
        <v>1560</v>
      </c>
      <c r="M169" s="230" t="s">
        <v>3142</v>
      </c>
      <c r="N169" s="230" t="s">
        <v>1562</v>
      </c>
      <c r="O169" s="230" t="s">
        <v>1563</v>
      </c>
    </row>
    <row r="170" spans="2:15" x14ac:dyDescent="0.2">
      <c r="B170" s="218" t="str">
        <f>"16704"</f>
        <v>16704</v>
      </c>
      <c r="C170" s="218" t="str">
        <f>"A2019/4630/MMG/SGG"</f>
        <v>A2019/4630/MMG/SGG</v>
      </c>
      <c r="D170" s="218" t="s">
        <v>3143</v>
      </c>
      <c r="E170" s="213" t="s">
        <v>154</v>
      </c>
      <c r="F170" s="213" t="s">
        <v>644</v>
      </c>
      <c r="G170" s="213" t="s">
        <v>3144</v>
      </c>
      <c r="H170" s="213" t="s">
        <v>3145</v>
      </c>
      <c r="I170" s="228">
        <v>41115</v>
      </c>
      <c r="J170" s="229">
        <v>41500.727685185186</v>
      </c>
      <c r="K170" s="228">
        <v>41638</v>
      </c>
      <c r="L170" s="228">
        <v>44351</v>
      </c>
      <c r="M170" s="228">
        <v>44351</v>
      </c>
      <c r="N170" s="213" t="s">
        <v>3146</v>
      </c>
      <c r="O170" s="213" t="str">
        <f>"Kissidougou"</f>
        <v>Kissidougou</v>
      </c>
    </row>
    <row r="171" spans="2:15" x14ac:dyDescent="0.2">
      <c r="B171" s="218" t="str">
        <f>"17780"</f>
        <v>17780</v>
      </c>
      <c r="C171" s="218" t="str">
        <f>"A2019/1766/MMG/SGG"</f>
        <v>A2019/1766/MMG/SGG</v>
      </c>
      <c r="D171" s="218" t="s">
        <v>598</v>
      </c>
      <c r="E171" s="213" t="s">
        <v>154</v>
      </c>
      <c r="F171" s="213" t="s">
        <v>644</v>
      </c>
      <c r="G171" s="213" t="s">
        <v>3144</v>
      </c>
      <c r="H171" s="213" t="s">
        <v>3145</v>
      </c>
      <c r="I171" s="228">
        <v>40916</v>
      </c>
      <c r="J171" s="213"/>
      <c r="K171" s="228">
        <v>41490</v>
      </c>
      <c r="L171" s="228">
        <v>44351</v>
      </c>
      <c r="M171" s="228">
        <v>44351</v>
      </c>
      <c r="N171" s="213" t="s">
        <v>3147</v>
      </c>
      <c r="O171" s="213" t="str">
        <f>"Kissidougou"</f>
        <v>Kissidougou</v>
      </c>
    </row>
    <row r="172" spans="2:15" x14ac:dyDescent="0.2">
      <c r="B172" s="218" t="str">
        <f>"17783"</f>
        <v>17783</v>
      </c>
      <c r="C172" s="218" t="str">
        <f>"A2019/4629/MMG/SGG"</f>
        <v>A2019/4629/MMG/SGG</v>
      </c>
      <c r="D172" s="218" t="s">
        <v>3143</v>
      </c>
      <c r="E172" s="213" t="s">
        <v>154</v>
      </c>
      <c r="F172" s="213" t="s">
        <v>644</v>
      </c>
      <c r="G172" s="213" t="s">
        <v>3144</v>
      </c>
      <c r="H172" s="213" t="s">
        <v>3145</v>
      </c>
      <c r="I172" s="228">
        <v>41115</v>
      </c>
      <c r="J172" s="213"/>
      <c r="K172" s="228">
        <v>41638</v>
      </c>
      <c r="L172" s="228">
        <v>44351</v>
      </c>
      <c r="M172" s="228">
        <v>44351</v>
      </c>
      <c r="N172" s="213" t="s">
        <v>3148</v>
      </c>
      <c r="O172" s="213" t="str">
        <f>"Kissidougou"</f>
        <v>Kissidougou</v>
      </c>
    </row>
    <row r="173" spans="2:15" x14ac:dyDescent="0.2">
      <c r="B173" s="218" t="str">
        <f>"18821"</f>
        <v>18821</v>
      </c>
      <c r="C173" s="218" t="str">
        <f>"A2017/6622/MMG/SGG"</f>
        <v>A2017/6622/MMG/SGG</v>
      </c>
      <c r="D173" s="218" t="s">
        <v>98</v>
      </c>
      <c r="E173" s="213" t="s">
        <v>254</v>
      </c>
      <c r="F173" s="213" t="s">
        <v>1568</v>
      </c>
      <c r="G173" s="213" t="s">
        <v>3144</v>
      </c>
      <c r="H173" s="213" t="s">
        <v>3145</v>
      </c>
      <c r="I173" s="228">
        <v>41457</v>
      </c>
      <c r="J173" s="229">
        <v>41457</v>
      </c>
      <c r="K173" s="228">
        <v>43080</v>
      </c>
      <c r="L173" s="228">
        <v>44519</v>
      </c>
      <c r="M173" s="228">
        <v>44519</v>
      </c>
      <c r="N173" s="213" t="s">
        <v>3149</v>
      </c>
      <c r="O173" s="213" t="str">
        <f>"Telimele"</f>
        <v>Telimele</v>
      </c>
    </row>
    <row r="174" spans="2:15" x14ac:dyDescent="0.2">
      <c r="B174" s="218" t="str">
        <f>"18840"</f>
        <v>18840</v>
      </c>
      <c r="C174" s="218" t="str">
        <f>"A2018/8213/MMG/SGG"</f>
        <v>A2018/8213/MMG/SGG</v>
      </c>
      <c r="D174" s="218" t="s">
        <v>1855</v>
      </c>
      <c r="E174" s="213" t="s">
        <v>1820</v>
      </c>
      <c r="F174" s="213" t="s">
        <v>640</v>
      </c>
      <c r="G174" s="213" t="s">
        <v>3144</v>
      </c>
      <c r="H174" s="213" t="s">
        <v>3145</v>
      </c>
      <c r="I174" s="228">
        <v>42629</v>
      </c>
      <c r="J174" s="229">
        <v>42635.555775462963</v>
      </c>
      <c r="K174" s="228">
        <v>42662</v>
      </c>
      <c r="L174" s="228">
        <v>44456</v>
      </c>
      <c r="M174" s="228">
        <v>44309</v>
      </c>
      <c r="N174" s="213" t="s">
        <v>3150</v>
      </c>
      <c r="O174" s="213" t="str">
        <f>"Kindia"</f>
        <v>Kindia</v>
      </c>
    </row>
    <row r="175" spans="2:15" x14ac:dyDescent="0.2">
      <c r="B175" s="218" t="str">
        <f>"18847"</f>
        <v>18847</v>
      </c>
      <c r="C175" s="218" t="str">
        <f>"A2016/7418/MMG/SGG"</f>
        <v>A2016/7418/MMG/SGG</v>
      </c>
      <c r="D175" s="218" t="s">
        <v>2546</v>
      </c>
      <c r="E175" s="213" t="s">
        <v>154</v>
      </c>
      <c r="F175" s="213" t="s">
        <v>644</v>
      </c>
      <c r="G175" s="213" t="s">
        <v>3144</v>
      </c>
      <c r="H175" s="213" t="s">
        <v>3145</v>
      </c>
      <c r="I175" s="228">
        <v>41484</v>
      </c>
      <c r="J175" s="229">
        <v>42576.527337962965</v>
      </c>
      <c r="K175" s="228">
        <v>42713</v>
      </c>
      <c r="L175" s="228">
        <v>44411</v>
      </c>
      <c r="M175" s="228">
        <v>44411</v>
      </c>
      <c r="N175" s="213" t="s">
        <v>3151</v>
      </c>
      <c r="O175" s="213" t="str">
        <f>"Mandiana"</f>
        <v>Mandiana</v>
      </c>
    </row>
    <row r="176" spans="2:15" x14ac:dyDescent="0.2">
      <c r="B176" s="218" t="str">
        <f>"18870"</f>
        <v>18870</v>
      </c>
      <c r="C176" s="218" t="str">
        <f>"A2019/1623/MMG/SGG"</f>
        <v>A2019/1623/MMG/SGG</v>
      </c>
      <c r="D176" s="218" t="s">
        <v>3152</v>
      </c>
      <c r="E176" s="213" t="s">
        <v>154</v>
      </c>
      <c r="F176" s="213" t="s">
        <v>644</v>
      </c>
      <c r="G176" s="213" t="s">
        <v>3144</v>
      </c>
      <c r="H176" s="213" t="s">
        <v>3145</v>
      </c>
      <c r="I176" s="228">
        <v>42675</v>
      </c>
      <c r="J176" s="229">
        <v>42683.538541666669</v>
      </c>
      <c r="K176" s="228">
        <v>42725</v>
      </c>
      <c r="L176" s="228">
        <v>44351</v>
      </c>
      <c r="M176" s="228">
        <v>44351</v>
      </c>
      <c r="N176" s="213" t="s">
        <v>3153</v>
      </c>
      <c r="O176" s="213" t="str">
        <f>"Siguiri"</f>
        <v>Siguiri</v>
      </c>
    </row>
    <row r="177" spans="2:15" x14ac:dyDescent="0.2">
      <c r="B177" s="218" t="str">
        <f>"18927"</f>
        <v>18927</v>
      </c>
      <c r="C177" s="218" t="str">
        <f>"A2018/6503/MMG/SGG"</f>
        <v>A2018/6503/MMG/SGG</v>
      </c>
      <c r="D177" s="218" t="s">
        <v>1623</v>
      </c>
      <c r="E177" s="213" t="s">
        <v>154</v>
      </c>
      <c r="F177" s="213" t="s">
        <v>644</v>
      </c>
      <c r="G177" s="213" t="s">
        <v>3144</v>
      </c>
      <c r="H177" s="213" t="s">
        <v>3145</v>
      </c>
      <c r="I177" s="228">
        <v>42583</v>
      </c>
      <c r="J177" s="229">
        <v>42583.606319444443</v>
      </c>
      <c r="K177" s="228">
        <v>42662</v>
      </c>
      <c r="L177" s="228">
        <v>44418</v>
      </c>
      <c r="M177" s="228">
        <v>44418</v>
      </c>
      <c r="N177" s="213" t="s">
        <v>3154</v>
      </c>
      <c r="O177" s="213" t="str">
        <f>"Mandiana"</f>
        <v>Mandiana</v>
      </c>
    </row>
    <row r="178" spans="2:15" x14ac:dyDescent="0.2">
      <c r="B178" s="218" t="str">
        <f>"19033"</f>
        <v>19033</v>
      </c>
      <c r="C178" s="218" t="str">
        <f>"A2018/7866/MMG/SGG"</f>
        <v>A2018/7866/MMG/SGG</v>
      </c>
      <c r="D178" s="218" t="s">
        <v>3155</v>
      </c>
      <c r="E178" s="213" t="s">
        <v>154</v>
      </c>
      <c r="F178" s="213" t="s">
        <v>644</v>
      </c>
      <c r="G178" s="213" t="s">
        <v>3144</v>
      </c>
      <c r="H178" s="213" t="s">
        <v>3145</v>
      </c>
      <c r="I178" s="228">
        <v>41737</v>
      </c>
      <c r="J178" s="229">
        <v>42468.718402777777</v>
      </c>
      <c r="K178" s="228">
        <v>42951</v>
      </c>
      <c r="L178" s="228">
        <v>44418</v>
      </c>
      <c r="M178" s="228">
        <v>44418</v>
      </c>
      <c r="N178" s="213" t="s">
        <v>3156</v>
      </c>
      <c r="O178" s="213" t="str">
        <f>"Mandiana"</f>
        <v>Mandiana</v>
      </c>
    </row>
    <row r="179" spans="2:15" x14ac:dyDescent="0.2">
      <c r="B179" s="218" t="str">
        <f>"19034"</f>
        <v>19034</v>
      </c>
      <c r="C179" s="218" t="str">
        <f>"A2018/7865/MMG/SGG"</f>
        <v>A2018/7865/MMG/SGG</v>
      </c>
      <c r="D179" s="218" t="s">
        <v>3155</v>
      </c>
      <c r="E179" s="213" t="s">
        <v>154</v>
      </c>
      <c r="F179" s="213" t="s">
        <v>644</v>
      </c>
      <c r="G179" s="213" t="s">
        <v>3144</v>
      </c>
      <c r="H179" s="213" t="s">
        <v>3145</v>
      </c>
      <c r="I179" s="228">
        <v>41737</v>
      </c>
      <c r="J179" s="229">
        <v>42673.41</v>
      </c>
      <c r="K179" s="228">
        <v>42951</v>
      </c>
      <c r="L179" s="228">
        <v>44418</v>
      </c>
      <c r="M179" s="228">
        <v>44418</v>
      </c>
      <c r="N179" s="213" t="s">
        <v>3157</v>
      </c>
      <c r="O179" s="213" t="str">
        <f>"Mandiana"</f>
        <v>Mandiana</v>
      </c>
    </row>
    <row r="180" spans="2:15" x14ac:dyDescent="0.2">
      <c r="B180" s="218" t="str">
        <f>"19517"</f>
        <v>19517</v>
      </c>
      <c r="C180" s="218" t="str">
        <f>"A2015/6517/MMG/SGG"</f>
        <v>A2015/6517/MMG/SGG</v>
      </c>
      <c r="D180" s="218" t="s">
        <v>1644</v>
      </c>
      <c r="E180" s="213" t="s">
        <v>254</v>
      </c>
      <c r="F180" s="213" t="s">
        <v>1568</v>
      </c>
      <c r="G180" s="213" t="s">
        <v>3144</v>
      </c>
      <c r="H180" s="213" t="s">
        <v>3145</v>
      </c>
      <c r="I180" s="228">
        <v>42060</v>
      </c>
      <c r="J180" s="229">
        <v>42349.409212962964</v>
      </c>
      <c r="K180" s="228">
        <v>42355</v>
      </c>
      <c r="L180" s="228">
        <v>44519</v>
      </c>
      <c r="M180" s="228">
        <v>44519</v>
      </c>
      <c r="N180" s="213" t="s">
        <v>3158</v>
      </c>
      <c r="O180" s="213" t="str">
        <f>"Fria,Telimele"</f>
        <v>Fria,Telimele</v>
      </c>
    </row>
    <row r="181" spans="2:15" x14ac:dyDescent="0.2">
      <c r="B181" s="218" t="str">
        <f>"19748"</f>
        <v>19748</v>
      </c>
      <c r="C181" s="218" t="s">
        <v>3159</v>
      </c>
      <c r="D181" s="218" t="s">
        <v>3160</v>
      </c>
      <c r="E181" s="213" t="s">
        <v>154</v>
      </c>
      <c r="F181" s="213" t="s">
        <v>644</v>
      </c>
      <c r="G181" s="213" t="s">
        <v>3144</v>
      </c>
      <c r="H181" s="213" t="s">
        <v>3145</v>
      </c>
      <c r="I181" s="228">
        <v>42037</v>
      </c>
      <c r="J181" s="213"/>
      <c r="K181" s="228">
        <v>42179</v>
      </c>
      <c r="L181" s="228">
        <v>44418</v>
      </c>
      <c r="M181" s="228">
        <v>44418</v>
      </c>
      <c r="N181" s="213" t="s">
        <v>3161</v>
      </c>
      <c r="O181" s="213" t="str">
        <f>"Siguiri"</f>
        <v>Siguiri</v>
      </c>
    </row>
    <row r="182" spans="2:15" x14ac:dyDescent="0.2">
      <c r="B182" s="218" t="str">
        <f>"20380"</f>
        <v>20380</v>
      </c>
      <c r="C182" s="218" t="str">
        <f>"A2020/3472/MMG/SGG"</f>
        <v>A2020/3472/MMG/SGG</v>
      </c>
      <c r="D182" s="218" t="s">
        <v>3162</v>
      </c>
      <c r="E182" s="213" t="s">
        <v>1820</v>
      </c>
      <c r="F182" s="213" t="s">
        <v>640</v>
      </c>
      <c r="G182" s="213" t="s">
        <v>3144</v>
      </c>
      <c r="H182" s="213" t="s">
        <v>3145</v>
      </c>
      <c r="I182" s="228">
        <v>42190</v>
      </c>
      <c r="J182" s="213"/>
      <c r="K182" s="228">
        <v>42355</v>
      </c>
      <c r="L182" s="228">
        <v>44333</v>
      </c>
      <c r="M182" s="228">
        <v>44333</v>
      </c>
      <c r="N182" s="213" t="s">
        <v>3163</v>
      </c>
      <c r="O182" s="213" t="str">
        <f>"Kerouane"</f>
        <v>Kerouane</v>
      </c>
    </row>
    <row r="183" spans="2:15" x14ac:dyDescent="0.2">
      <c r="B183" s="218" t="str">
        <f>"21082"</f>
        <v>21082</v>
      </c>
      <c r="C183" s="218" t="str">
        <f>"A2018/5333/MMG/SGG"</f>
        <v>A2018/5333/MMG/SGG</v>
      </c>
      <c r="D183" s="218" t="s">
        <v>2546</v>
      </c>
      <c r="E183" s="213" t="s">
        <v>154</v>
      </c>
      <c r="F183" s="213" t="s">
        <v>644</v>
      </c>
      <c r="G183" s="213" t="s">
        <v>3144</v>
      </c>
      <c r="H183" s="213" t="s">
        <v>3145</v>
      </c>
      <c r="I183" s="228">
        <v>41484</v>
      </c>
      <c r="J183" s="229">
        <v>42941.539976851855</v>
      </c>
      <c r="K183" s="228">
        <v>42713</v>
      </c>
      <c r="L183" s="228">
        <v>44411</v>
      </c>
      <c r="M183" s="228">
        <v>44411</v>
      </c>
      <c r="N183" s="213" t="s">
        <v>3164</v>
      </c>
      <c r="O183" s="213" t="str">
        <f>"Mandiana"</f>
        <v>Mandiana</v>
      </c>
    </row>
    <row r="184" spans="2:15" x14ac:dyDescent="0.2">
      <c r="B184" s="218" t="str">
        <f>"21083"</f>
        <v>21083</v>
      </c>
      <c r="C184" s="218" t="str">
        <f>"A2020/2567/MMG/SGG"</f>
        <v>A2020/2567/MMG/SGG</v>
      </c>
      <c r="D184" s="218" t="s">
        <v>2546</v>
      </c>
      <c r="E184" s="213" t="s">
        <v>154</v>
      </c>
      <c r="F184" s="213" t="s">
        <v>644</v>
      </c>
      <c r="G184" s="213" t="s">
        <v>3144</v>
      </c>
      <c r="H184" s="213" t="s">
        <v>3145</v>
      </c>
      <c r="I184" s="228">
        <v>41484</v>
      </c>
      <c r="J184" s="229">
        <v>42941.541909722226</v>
      </c>
      <c r="K184" s="228">
        <v>42713</v>
      </c>
      <c r="L184" s="228">
        <v>44411</v>
      </c>
      <c r="M184" s="228">
        <v>44411</v>
      </c>
      <c r="N184" s="213" t="s">
        <v>3165</v>
      </c>
      <c r="O184" s="213" t="str">
        <f>"Mandiana"</f>
        <v>Mandiana</v>
      </c>
    </row>
    <row r="185" spans="2:15" x14ac:dyDescent="0.2">
      <c r="B185" s="218" t="str">
        <f>"21139"</f>
        <v>21139</v>
      </c>
      <c r="C185" s="218"/>
      <c r="D185" s="218" t="s">
        <v>3166</v>
      </c>
      <c r="E185" s="213" t="s">
        <v>85</v>
      </c>
      <c r="F185" s="213" t="s">
        <v>1769</v>
      </c>
      <c r="G185" s="213" t="s">
        <v>3144</v>
      </c>
      <c r="H185" s="213" t="s">
        <v>3145</v>
      </c>
      <c r="I185" s="228">
        <v>42495</v>
      </c>
      <c r="J185" s="229">
        <v>42495</v>
      </c>
      <c r="K185" s="228">
        <v>42585</v>
      </c>
      <c r="L185" s="228">
        <v>44257</v>
      </c>
      <c r="M185" s="228">
        <v>44257</v>
      </c>
      <c r="N185" s="213" t="s">
        <v>3167</v>
      </c>
      <c r="O185" s="213" t="str">
        <f>"Boke"</f>
        <v>Boke</v>
      </c>
    </row>
    <row r="186" spans="2:15" x14ac:dyDescent="0.2">
      <c r="B186" s="218" t="str">
        <f>"21140"</f>
        <v>21140</v>
      </c>
      <c r="C186" s="218"/>
      <c r="D186" s="218" t="s">
        <v>3168</v>
      </c>
      <c r="E186" s="213" t="s">
        <v>85</v>
      </c>
      <c r="F186" s="213" t="s">
        <v>1755</v>
      </c>
      <c r="G186" s="213" t="s">
        <v>3144</v>
      </c>
      <c r="H186" s="213" t="s">
        <v>3145</v>
      </c>
      <c r="I186" s="228">
        <v>42432</v>
      </c>
      <c r="J186" s="229">
        <v>42432</v>
      </c>
      <c r="K186" s="228">
        <v>42465</v>
      </c>
      <c r="L186" s="228">
        <v>44257</v>
      </c>
      <c r="M186" s="228">
        <v>44257</v>
      </c>
      <c r="N186" s="213" t="s">
        <v>3169</v>
      </c>
      <c r="O186" s="213" t="str">
        <f>"Boke"</f>
        <v>Boke</v>
      </c>
    </row>
    <row r="187" spans="2:15" x14ac:dyDescent="0.2">
      <c r="B187" s="218" t="str">
        <f>"21175"</f>
        <v>21175</v>
      </c>
      <c r="C187" s="218" t="str">
        <f>""</f>
        <v/>
      </c>
      <c r="D187" s="218" t="s">
        <v>3170</v>
      </c>
      <c r="E187" s="213" t="s">
        <v>78</v>
      </c>
      <c r="F187" s="213" t="s">
        <v>1769</v>
      </c>
      <c r="G187" s="213" t="s">
        <v>3144</v>
      </c>
      <c r="H187" s="213" t="s">
        <v>3145</v>
      </c>
      <c r="I187" s="228">
        <v>42356</v>
      </c>
      <c r="J187" s="229">
        <v>42356</v>
      </c>
      <c r="K187" s="228">
        <v>42362</v>
      </c>
      <c r="L187" s="228">
        <v>44456</v>
      </c>
      <c r="M187" s="228">
        <v>44456</v>
      </c>
      <c r="N187" s="213" t="s">
        <v>3171</v>
      </c>
      <c r="O187" s="213" t="str">
        <f>"Dubreka"</f>
        <v>Dubreka</v>
      </c>
    </row>
    <row r="188" spans="2:15" x14ac:dyDescent="0.2">
      <c r="B188" s="218" t="str">
        <f>"21995"</f>
        <v>21995</v>
      </c>
      <c r="C188" s="218" t="str">
        <f>"A2020/2274/MMG/SGG"</f>
        <v>A2020/2274/MMG/SGG</v>
      </c>
      <c r="D188" s="218" t="s">
        <v>3172</v>
      </c>
      <c r="E188" s="213" t="s">
        <v>78</v>
      </c>
      <c r="F188" s="213" t="s">
        <v>1769</v>
      </c>
      <c r="G188" s="213" t="s">
        <v>3144</v>
      </c>
      <c r="H188" s="213" t="s">
        <v>3145</v>
      </c>
      <c r="I188" s="228">
        <v>42866</v>
      </c>
      <c r="J188" s="229">
        <v>42976.470300925925</v>
      </c>
      <c r="K188" s="228">
        <v>42935</v>
      </c>
      <c r="L188" s="228">
        <v>44333</v>
      </c>
      <c r="M188" s="228">
        <v>44333</v>
      </c>
      <c r="N188" s="213" t="s">
        <v>3173</v>
      </c>
      <c r="O188" s="213" t="str">
        <f>"Dubreka"</f>
        <v>Dubreka</v>
      </c>
    </row>
    <row r="189" spans="2:15" x14ac:dyDescent="0.2">
      <c r="B189" s="218" t="str">
        <f>"22031"</f>
        <v>22031</v>
      </c>
      <c r="C189" s="218" t="str">
        <f>"A2016/6606/MMG/SGG"</f>
        <v>A2016/6606/MMG/SGG</v>
      </c>
      <c r="D189" s="218" t="s">
        <v>3174</v>
      </c>
      <c r="E189" s="213" t="s">
        <v>154</v>
      </c>
      <c r="F189" s="213" t="s">
        <v>644</v>
      </c>
      <c r="G189" s="213" t="s">
        <v>3144</v>
      </c>
      <c r="H189" s="213" t="s">
        <v>3145</v>
      </c>
      <c r="I189" s="228">
        <v>42681</v>
      </c>
      <c r="J189" s="229">
        <v>42681.677430555559</v>
      </c>
      <c r="K189" s="228">
        <v>42690</v>
      </c>
      <c r="L189" s="228">
        <v>44309</v>
      </c>
      <c r="M189" s="228">
        <v>44309</v>
      </c>
      <c r="N189" s="213" t="s">
        <v>3175</v>
      </c>
      <c r="O189" s="213" t="str">
        <f>"Dabola"</f>
        <v>Dabola</v>
      </c>
    </row>
    <row r="190" spans="2:15" x14ac:dyDescent="0.2">
      <c r="B190" s="218" t="str">
        <f>"22032"</f>
        <v>22032</v>
      </c>
      <c r="C190" s="218" t="str">
        <f>"A2016/6607/MMG/SGG"</f>
        <v>A2016/6607/MMG/SGG</v>
      </c>
      <c r="D190" s="218" t="s">
        <v>3174</v>
      </c>
      <c r="E190" s="213" t="s">
        <v>154</v>
      </c>
      <c r="F190" s="213" t="s">
        <v>644</v>
      </c>
      <c r="G190" s="213" t="s">
        <v>3144</v>
      </c>
      <c r="H190" s="213" t="s">
        <v>3145</v>
      </c>
      <c r="I190" s="228">
        <v>42681</v>
      </c>
      <c r="J190" s="229">
        <v>42683.452881944446</v>
      </c>
      <c r="K190" s="228">
        <v>42690</v>
      </c>
      <c r="L190" s="228">
        <v>44309</v>
      </c>
      <c r="M190" s="228">
        <v>44309</v>
      </c>
      <c r="N190" s="213" t="s">
        <v>3176</v>
      </c>
      <c r="O190" s="213" t="str">
        <f>"Kankan"</f>
        <v>Kankan</v>
      </c>
    </row>
    <row r="191" spans="2:15" x14ac:dyDescent="0.2">
      <c r="B191" s="218" t="str">
        <f>"22070"</f>
        <v>22070</v>
      </c>
      <c r="C191" s="218" t="str">
        <f>"A2019/6963/MMG/SGG"</f>
        <v>A2019/6963/MMG/SGG</v>
      </c>
      <c r="D191" s="218" t="s">
        <v>3177</v>
      </c>
      <c r="E191" s="213" t="s">
        <v>154</v>
      </c>
      <c r="F191" s="213" t="s">
        <v>644</v>
      </c>
      <c r="G191" s="213" t="s">
        <v>3144</v>
      </c>
      <c r="H191" s="213" t="s">
        <v>3145</v>
      </c>
      <c r="I191" s="228">
        <v>42741</v>
      </c>
      <c r="J191" s="229">
        <v>42741.477986111109</v>
      </c>
      <c r="K191" s="228">
        <v>42748</v>
      </c>
      <c r="L191" s="228">
        <v>44351</v>
      </c>
      <c r="M191" s="228">
        <v>44351</v>
      </c>
      <c r="N191" s="213" t="s">
        <v>3178</v>
      </c>
      <c r="O191" s="213" t="str">
        <f>"Mandiana"</f>
        <v>Mandiana</v>
      </c>
    </row>
    <row r="192" spans="2:15" x14ac:dyDescent="0.2">
      <c r="B192" s="218" t="str">
        <f>"22075"</f>
        <v>22075</v>
      </c>
      <c r="C192" s="218" t="str">
        <f>"A2019/730/MMG/SGG"</f>
        <v>A2019/730/MMG/SGG</v>
      </c>
      <c r="D192" s="218" t="s">
        <v>3177</v>
      </c>
      <c r="E192" s="213" t="s">
        <v>254</v>
      </c>
      <c r="F192" s="213" t="s">
        <v>1568</v>
      </c>
      <c r="G192" s="213" t="s">
        <v>3144</v>
      </c>
      <c r="H192" s="213" t="s">
        <v>3145</v>
      </c>
      <c r="I192" s="228">
        <v>42741</v>
      </c>
      <c r="J192" s="229">
        <v>42744.511030092595</v>
      </c>
      <c r="K192" s="228">
        <v>42748</v>
      </c>
      <c r="L192" s="228">
        <v>44418</v>
      </c>
      <c r="M192" s="228">
        <v>44418</v>
      </c>
      <c r="N192" s="213" t="s">
        <v>3179</v>
      </c>
      <c r="O192" s="213" t="str">
        <f>"Forecariah, Kindia"</f>
        <v>Forecariah, Kindia</v>
      </c>
    </row>
    <row r="193" spans="2:15" x14ac:dyDescent="0.2">
      <c r="B193" s="218" t="str">
        <f>"22084"</f>
        <v>22084</v>
      </c>
      <c r="C193" s="218" t="str">
        <f>"A2017/967/MMG/SGG"</f>
        <v>A2017/967/MMG/SGG</v>
      </c>
      <c r="D193" s="218" t="s">
        <v>3180</v>
      </c>
      <c r="E193" s="213" t="s">
        <v>154</v>
      </c>
      <c r="F193" s="213" t="s">
        <v>644</v>
      </c>
      <c r="G193" s="213" t="s">
        <v>3144</v>
      </c>
      <c r="H193" s="213" t="s">
        <v>3145</v>
      </c>
      <c r="I193" s="228">
        <v>42765</v>
      </c>
      <c r="J193" s="229">
        <v>42766.43409722222</v>
      </c>
      <c r="K193" s="228">
        <v>42793</v>
      </c>
      <c r="L193" s="228">
        <v>44309</v>
      </c>
      <c r="M193" s="228">
        <v>44309</v>
      </c>
      <c r="N193" s="213" t="s">
        <v>3181</v>
      </c>
      <c r="O193" s="213" t="str">
        <f>"Mandiana"</f>
        <v>Mandiana</v>
      </c>
    </row>
    <row r="194" spans="2:15" x14ac:dyDescent="0.2">
      <c r="B194" s="218" t="str">
        <f>"22107"</f>
        <v>22107</v>
      </c>
      <c r="C194" s="218" t="str">
        <f>"A2017/061/MMG/DNM"</f>
        <v>A2017/061/MMG/DNM</v>
      </c>
      <c r="D194" s="218" t="s">
        <v>3182</v>
      </c>
      <c r="E194" s="213" t="s">
        <v>85</v>
      </c>
      <c r="F194" s="213" t="s">
        <v>640</v>
      </c>
      <c r="G194" s="213" t="s">
        <v>3144</v>
      </c>
      <c r="H194" s="213" t="s">
        <v>3145</v>
      </c>
      <c r="I194" s="228">
        <v>42809</v>
      </c>
      <c r="J194" s="229">
        <v>42810.43608796296</v>
      </c>
      <c r="K194" s="228">
        <v>43006</v>
      </c>
      <c r="L194" s="228">
        <v>44257</v>
      </c>
      <c r="M194" s="228">
        <v>44257</v>
      </c>
      <c r="N194" s="213" t="s">
        <v>3183</v>
      </c>
      <c r="O194" s="213" t="str">
        <f>"Macenta"</f>
        <v>Macenta</v>
      </c>
    </row>
    <row r="195" spans="2:15" x14ac:dyDescent="0.2">
      <c r="B195" s="218" t="str">
        <f>"22110"</f>
        <v>22110</v>
      </c>
      <c r="C195" s="218" t="str">
        <f>""</f>
        <v/>
      </c>
      <c r="D195" s="218" t="s">
        <v>3184</v>
      </c>
      <c r="E195" s="213" t="s">
        <v>85</v>
      </c>
      <c r="F195" s="213" t="s">
        <v>640</v>
      </c>
      <c r="G195" s="213" t="s">
        <v>3144</v>
      </c>
      <c r="H195" s="213" t="s">
        <v>3145</v>
      </c>
      <c r="I195" s="228">
        <v>42795</v>
      </c>
      <c r="J195" s="229">
        <v>42818.495775462965</v>
      </c>
      <c r="K195" s="213"/>
      <c r="L195" s="228">
        <v>44257</v>
      </c>
      <c r="M195" s="228">
        <v>44257</v>
      </c>
      <c r="N195" s="213" t="s">
        <v>3185</v>
      </c>
      <c r="O195" s="213" t="str">
        <f>"Macenta"</f>
        <v>Macenta</v>
      </c>
    </row>
    <row r="196" spans="2:15" x14ac:dyDescent="0.2">
      <c r="B196" s="218" t="str">
        <f>"22118"</f>
        <v>22118</v>
      </c>
      <c r="C196" s="218" t="str">
        <f>""</f>
        <v/>
      </c>
      <c r="D196" s="218" t="s">
        <v>3186</v>
      </c>
      <c r="E196" s="213" t="s">
        <v>85</v>
      </c>
      <c r="F196" s="213" t="s">
        <v>3187</v>
      </c>
      <c r="G196" s="213" t="s">
        <v>3144</v>
      </c>
      <c r="H196" s="213" t="s">
        <v>3145</v>
      </c>
      <c r="I196" s="228">
        <v>42823</v>
      </c>
      <c r="J196" s="229">
        <v>42824.639270833337</v>
      </c>
      <c r="K196" s="213"/>
      <c r="L196" s="228">
        <v>44257</v>
      </c>
      <c r="M196" s="228">
        <v>44257</v>
      </c>
      <c r="N196" s="213" t="s">
        <v>3188</v>
      </c>
      <c r="O196" s="213" t="str">
        <f>"Dinguiraye"</f>
        <v>Dinguiraye</v>
      </c>
    </row>
    <row r="197" spans="2:15" x14ac:dyDescent="0.2">
      <c r="B197" s="218" t="str">
        <f>"22119"</f>
        <v>22119</v>
      </c>
      <c r="C197" s="218" t="str">
        <f>""</f>
        <v/>
      </c>
      <c r="D197" s="218" t="s">
        <v>1829</v>
      </c>
      <c r="E197" s="213" t="s">
        <v>85</v>
      </c>
      <c r="F197" s="213" t="s">
        <v>644</v>
      </c>
      <c r="G197" s="213" t="s">
        <v>3144</v>
      </c>
      <c r="H197" s="213" t="s">
        <v>3145</v>
      </c>
      <c r="I197" s="228">
        <v>42825</v>
      </c>
      <c r="J197" s="229">
        <v>42830.627557870372</v>
      </c>
      <c r="K197" s="213"/>
      <c r="L197" s="228">
        <v>44257</v>
      </c>
      <c r="M197" s="228">
        <v>44257</v>
      </c>
      <c r="N197" s="213" t="s">
        <v>3189</v>
      </c>
      <c r="O197" s="213" t="str">
        <f>"Mandiana"</f>
        <v>Mandiana</v>
      </c>
    </row>
    <row r="198" spans="2:15" x14ac:dyDescent="0.2">
      <c r="B198" s="218" t="str">
        <f>"22136"</f>
        <v>22136</v>
      </c>
      <c r="C198" s="218" t="str">
        <f>""</f>
        <v/>
      </c>
      <c r="D198" s="218" t="s">
        <v>3190</v>
      </c>
      <c r="E198" s="213" t="s">
        <v>85</v>
      </c>
      <c r="F198" s="213" t="s">
        <v>644</v>
      </c>
      <c r="G198" s="213" t="s">
        <v>3144</v>
      </c>
      <c r="H198" s="213" t="s">
        <v>3145</v>
      </c>
      <c r="I198" s="228">
        <v>42846</v>
      </c>
      <c r="J198" s="229">
        <v>42873.577164351853</v>
      </c>
      <c r="K198" s="213"/>
      <c r="L198" s="228">
        <v>44257</v>
      </c>
      <c r="M198" s="228">
        <v>44257</v>
      </c>
      <c r="N198" s="213" t="s">
        <v>3191</v>
      </c>
      <c r="O198" s="213" t="str">
        <f>"Mandiana"</f>
        <v>Mandiana</v>
      </c>
    </row>
    <row r="199" spans="2:15" x14ac:dyDescent="0.2">
      <c r="B199" s="218" t="str">
        <f>"22137"</f>
        <v>22137</v>
      </c>
      <c r="C199" s="218" t="str">
        <f>""</f>
        <v/>
      </c>
      <c r="D199" s="218" t="s">
        <v>3192</v>
      </c>
      <c r="E199" s="213" t="s">
        <v>85</v>
      </c>
      <c r="F199" s="213" t="s">
        <v>644</v>
      </c>
      <c r="G199" s="213" t="s">
        <v>3144</v>
      </c>
      <c r="H199" s="213" t="s">
        <v>3145</v>
      </c>
      <c r="I199" s="228">
        <v>42858</v>
      </c>
      <c r="J199" s="229">
        <v>42874.470219907409</v>
      </c>
      <c r="K199" s="213"/>
      <c r="L199" s="228">
        <v>44257</v>
      </c>
      <c r="M199" s="228">
        <v>44257</v>
      </c>
      <c r="N199" s="213" t="s">
        <v>3193</v>
      </c>
      <c r="O199" s="213" t="str">
        <f>"Mandiana"</f>
        <v>Mandiana</v>
      </c>
    </row>
    <row r="200" spans="2:15" x14ac:dyDescent="0.2">
      <c r="B200" s="218" t="str">
        <f>"22139"</f>
        <v>22139</v>
      </c>
      <c r="C200" s="218" t="str">
        <f>""</f>
        <v/>
      </c>
      <c r="D200" s="218" t="s">
        <v>3194</v>
      </c>
      <c r="E200" s="213" t="s">
        <v>85</v>
      </c>
      <c r="F200" s="213" t="s">
        <v>3195</v>
      </c>
      <c r="G200" s="213" t="s">
        <v>3144</v>
      </c>
      <c r="H200" s="213" t="s">
        <v>3145</v>
      </c>
      <c r="I200" s="228">
        <v>42853</v>
      </c>
      <c r="J200" s="229">
        <v>42874.563576388886</v>
      </c>
      <c r="K200" s="213"/>
      <c r="L200" s="228">
        <v>44257</v>
      </c>
      <c r="M200" s="228">
        <v>44257</v>
      </c>
      <c r="N200" s="213" t="s">
        <v>3196</v>
      </c>
      <c r="O200" s="213" t="str">
        <f>"Gaoual, Lelouma"</f>
        <v>Gaoual, Lelouma</v>
      </c>
    </row>
    <row r="201" spans="2:15" x14ac:dyDescent="0.2">
      <c r="B201" s="218" t="str">
        <f>"22140"</f>
        <v>22140</v>
      </c>
      <c r="C201" s="218" t="str">
        <f>""</f>
        <v/>
      </c>
      <c r="D201" s="218" t="s">
        <v>3194</v>
      </c>
      <c r="E201" s="213" t="s">
        <v>85</v>
      </c>
      <c r="F201" s="213" t="s">
        <v>3195</v>
      </c>
      <c r="G201" s="213" t="s">
        <v>3144</v>
      </c>
      <c r="H201" s="213" t="s">
        <v>3145</v>
      </c>
      <c r="I201" s="228">
        <v>42853</v>
      </c>
      <c r="J201" s="229">
        <v>42874.580694444441</v>
      </c>
      <c r="K201" s="213"/>
      <c r="L201" s="228">
        <v>44257</v>
      </c>
      <c r="M201" s="228">
        <v>44257</v>
      </c>
      <c r="N201" s="213" t="s">
        <v>3197</v>
      </c>
      <c r="O201" s="213" t="str">
        <f>"Dalaba"</f>
        <v>Dalaba</v>
      </c>
    </row>
    <row r="202" spans="2:15" x14ac:dyDescent="0.2">
      <c r="B202" s="218" t="str">
        <f>"22141"</f>
        <v>22141</v>
      </c>
      <c r="C202" s="218" t="str">
        <f>"A2017/018/MMG/DNM"</f>
        <v>A2017/018/MMG/DNM</v>
      </c>
      <c r="D202" s="218" t="s">
        <v>3198</v>
      </c>
      <c r="E202" s="213" t="s">
        <v>85</v>
      </c>
      <c r="F202" s="213" t="s">
        <v>1758</v>
      </c>
      <c r="G202" s="213" t="s">
        <v>3144</v>
      </c>
      <c r="H202" s="213" t="s">
        <v>3145</v>
      </c>
      <c r="I202" s="228">
        <v>42797</v>
      </c>
      <c r="J202" s="229">
        <v>42884.586076388892</v>
      </c>
      <c r="K202" s="228">
        <v>42885</v>
      </c>
      <c r="L202" s="228">
        <v>44257</v>
      </c>
      <c r="M202" s="228">
        <v>44257</v>
      </c>
      <c r="N202" s="213" t="s">
        <v>3199</v>
      </c>
      <c r="O202" s="213" t="str">
        <f>"Boffa"</f>
        <v>Boffa</v>
      </c>
    </row>
    <row r="203" spans="2:15" x14ac:dyDescent="0.2">
      <c r="B203" s="218" t="str">
        <f>"22142"</f>
        <v>22142</v>
      </c>
      <c r="C203" s="218" t="str">
        <f>""</f>
        <v/>
      </c>
      <c r="D203" s="218" t="s">
        <v>3198</v>
      </c>
      <c r="E203" s="213" t="s">
        <v>85</v>
      </c>
      <c r="F203" s="213" t="s">
        <v>1758</v>
      </c>
      <c r="G203" s="213" t="s">
        <v>3144</v>
      </c>
      <c r="H203" s="213" t="s">
        <v>3145</v>
      </c>
      <c r="I203" s="228">
        <v>42797</v>
      </c>
      <c r="J203" s="229">
        <v>42884.622627314813</v>
      </c>
      <c r="K203" s="213"/>
      <c r="L203" s="228">
        <v>44257</v>
      </c>
      <c r="M203" s="228">
        <v>44257</v>
      </c>
      <c r="N203" s="213" t="s">
        <v>3200</v>
      </c>
      <c r="O203" s="213" t="str">
        <f>"Forecariah"</f>
        <v>Forecariah</v>
      </c>
    </row>
    <row r="204" spans="2:15" x14ac:dyDescent="0.2">
      <c r="B204" s="218" t="str">
        <f>"22144"</f>
        <v>22144</v>
      </c>
      <c r="C204" s="218" t="str">
        <f>""</f>
        <v/>
      </c>
      <c r="D204" s="218" t="s">
        <v>2672</v>
      </c>
      <c r="E204" s="213" t="s">
        <v>85</v>
      </c>
      <c r="F204" s="213" t="s">
        <v>644</v>
      </c>
      <c r="G204" s="213" t="s">
        <v>3144</v>
      </c>
      <c r="H204" s="213" t="s">
        <v>3145</v>
      </c>
      <c r="I204" s="228">
        <v>42876</v>
      </c>
      <c r="J204" s="229">
        <v>42884.64675925926</v>
      </c>
      <c r="K204" s="213"/>
      <c r="L204" s="228">
        <v>44257</v>
      </c>
      <c r="M204" s="228">
        <v>44257</v>
      </c>
      <c r="N204" s="213" t="s">
        <v>3201</v>
      </c>
      <c r="O204" s="213" t="str">
        <f>"Kouroussa"</f>
        <v>Kouroussa</v>
      </c>
    </row>
    <row r="205" spans="2:15" x14ac:dyDescent="0.2">
      <c r="B205" s="218" t="str">
        <f>"22145"</f>
        <v>22145</v>
      </c>
      <c r="C205" s="218" t="str">
        <f>""</f>
        <v/>
      </c>
      <c r="D205" s="218" t="s">
        <v>3202</v>
      </c>
      <c r="E205" s="213" t="s">
        <v>85</v>
      </c>
      <c r="F205" s="213" t="s">
        <v>644</v>
      </c>
      <c r="G205" s="213" t="s">
        <v>3144</v>
      </c>
      <c r="H205" s="213" t="s">
        <v>3145</v>
      </c>
      <c r="I205" s="228">
        <v>42876</v>
      </c>
      <c r="J205" s="229">
        <v>42884.694687499999</v>
      </c>
      <c r="K205" s="213"/>
      <c r="L205" s="228">
        <v>44257</v>
      </c>
      <c r="M205" s="228">
        <v>44257</v>
      </c>
      <c r="N205" s="213" t="s">
        <v>3203</v>
      </c>
      <c r="O205" s="213" t="str">
        <f>"Kouroussa"</f>
        <v>Kouroussa</v>
      </c>
    </row>
    <row r="206" spans="2:15" x14ac:dyDescent="0.2">
      <c r="B206" s="218" t="str">
        <f>"22146"</f>
        <v>22146</v>
      </c>
      <c r="C206" s="218" t="str">
        <f>""</f>
        <v/>
      </c>
      <c r="D206" s="218" t="s">
        <v>3204</v>
      </c>
      <c r="E206" s="213" t="s">
        <v>85</v>
      </c>
      <c r="F206" s="213" t="s">
        <v>644</v>
      </c>
      <c r="G206" s="213" t="s">
        <v>3144</v>
      </c>
      <c r="H206" s="213" t="s">
        <v>3145</v>
      </c>
      <c r="I206" s="228">
        <v>42876</v>
      </c>
      <c r="J206" s="229">
        <v>42884.683912037035</v>
      </c>
      <c r="K206" s="213"/>
      <c r="L206" s="228">
        <v>44257</v>
      </c>
      <c r="M206" s="228">
        <v>44257</v>
      </c>
      <c r="N206" s="213" t="s">
        <v>3205</v>
      </c>
      <c r="O206" s="213" t="str">
        <f>"Mandiana"</f>
        <v>Mandiana</v>
      </c>
    </row>
    <row r="207" spans="2:15" x14ac:dyDescent="0.2">
      <c r="B207" s="218" t="str">
        <f>"22147"</f>
        <v>22147</v>
      </c>
      <c r="C207" s="218" t="str">
        <f>""</f>
        <v/>
      </c>
      <c r="D207" s="218" t="s">
        <v>2508</v>
      </c>
      <c r="E207" s="213" t="s">
        <v>85</v>
      </c>
      <c r="F207" s="213" t="s">
        <v>640</v>
      </c>
      <c r="G207" s="213" t="s">
        <v>3144</v>
      </c>
      <c r="H207" s="213" t="s">
        <v>3145</v>
      </c>
      <c r="I207" s="228">
        <v>42849</v>
      </c>
      <c r="J207" s="229">
        <v>42885.498391203706</v>
      </c>
      <c r="K207" s="213"/>
      <c r="L207" s="228">
        <v>44257</v>
      </c>
      <c r="M207" s="228">
        <v>44257</v>
      </c>
      <c r="N207" s="213" t="s">
        <v>3206</v>
      </c>
      <c r="O207" s="213" t="str">
        <f>"Kissidougou,Macenta"</f>
        <v>Kissidougou,Macenta</v>
      </c>
    </row>
    <row r="208" spans="2:15" x14ac:dyDescent="0.2">
      <c r="B208" s="218" t="str">
        <f>"22153"</f>
        <v>22153</v>
      </c>
      <c r="C208" s="218" t="str">
        <f>""</f>
        <v/>
      </c>
      <c r="D208" s="218" t="s">
        <v>3207</v>
      </c>
      <c r="E208" s="213" t="s">
        <v>85</v>
      </c>
      <c r="F208" s="213" t="s">
        <v>640</v>
      </c>
      <c r="G208" s="213" t="s">
        <v>3144</v>
      </c>
      <c r="H208" s="213" t="s">
        <v>3145</v>
      </c>
      <c r="I208" s="228">
        <v>42852</v>
      </c>
      <c r="J208" s="229">
        <v>42900.573842592596</v>
      </c>
      <c r="K208" s="213"/>
      <c r="L208" s="228">
        <v>44257</v>
      </c>
      <c r="M208" s="228">
        <v>44257</v>
      </c>
      <c r="N208" s="213" t="s">
        <v>3208</v>
      </c>
      <c r="O208" s="213" t="str">
        <f>"Kissidougou"</f>
        <v>Kissidougou</v>
      </c>
    </row>
    <row r="209" spans="2:15" x14ac:dyDescent="0.2">
      <c r="B209" s="218" t="str">
        <f>"22155"</f>
        <v>22155</v>
      </c>
      <c r="C209" s="218" t="str">
        <f>"A2017/2178/MMG/SGG"</f>
        <v>A2017/2178/MMG/SGG</v>
      </c>
      <c r="D209" s="218" t="s">
        <v>3184</v>
      </c>
      <c r="E209" s="213" t="s">
        <v>1820</v>
      </c>
      <c r="F209" s="213" t="s">
        <v>640</v>
      </c>
      <c r="G209" s="213" t="s">
        <v>3144</v>
      </c>
      <c r="H209" s="213" t="s">
        <v>3145</v>
      </c>
      <c r="I209" s="228">
        <v>42886</v>
      </c>
      <c r="J209" s="229">
        <v>42901.581782407404</v>
      </c>
      <c r="K209" s="228">
        <v>42919</v>
      </c>
      <c r="L209" s="228">
        <v>44453</v>
      </c>
      <c r="M209" s="228">
        <v>44453</v>
      </c>
      <c r="N209" s="213" t="s">
        <v>3209</v>
      </c>
      <c r="O209" s="213" t="str">
        <f>"Macenta"</f>
        <v>Macenta</v>
      </c>
    </row>
    <row r="210" spans="2:15" x14ac:dyDescent="0.2">
      <c r="B210" s="218" t="str">
        <f>"22167"</f>
        <v>22167</v>
      </c>
      <c r="C210" s="218" t="str">
        <f>"A2020/2888/MMG/SGG"</f>
        <v>A2020/2888/MMG/SGG</v>
      </c>
      <c r="D210" s="218" t="s">
        <v>3210</v>
      </c>
      <c r="E210" s="213" t="s">
        <v>154</v>
      </c>
      <c r="F210" s="213" t="s">
        <v>644</v>
      </c>
      <c r="G210" s="213" t="s">
        <v>3144</v>
      </c>
      <c r="H210" s="213" t="s">
        <v>3145</v>
      </c>
      <c r="I210" s="228">
        <v>42740</v>
      </c>
      <c r="J210" s="229">
        <v>42915.448680555557</v>
      </c>
      <c r="K210" s="228">
        <v>42935</v>
      </c>
      <c r="L210" s="228">
        <v>44351</v>
      </c>
      <c r="M210" s="228">
        <v>44351</v>
      </c>
      <c r="N210" s="213" t="s">
        <v>3211</v>
      </c>
      <c r="O210" s="213" t="str">
        <f>"Siguiri"</f>
        <v>Siguiri</v>
      </c>
    </row>
    <row r="211" spans="2:15" x14ac:dyDescent="0.2">
      <c r="B211" s="218" t="str">
        <f>"22168"</f>
        <v>22168</v>
      </c>
      <c r="C211" s="218" t="str">
        <f>"A2020/2889/MMG/SGG"</f>
        <v>A2020/2889/MMG/SGG</v>
      </c>
      <c r="D211" s="218" t="s">
        <v>3210</v>
      </c>
      <c r="E211" s="213" t="s">
        <v>154</v>
      </c>
      <c r="F211" s="213" t="s">
        <v>644</v>
      </c>
      <c r="G211" s="213" t="s">
        <v>3144</v>
      </c>
      <c r="H211" s="213" t="s">
        <v>3145</v>
      </c>
      <c r="I211" s="228">
        <v>42740</v>
      </c>
      <c r="J211" s="229">
        <v>42915.468865740739</v>
      </c>
      <c r="K211" s="228">
        <v>42935</v>
      </c>
      <c r="L211" s="228">
        <v>44351</v>
      </c>
      <c r="M211" s="228">
        <v>44351</v>
      </c>
      <c r="N211" s="213" t="s">
        <v>3212</v>
      </c>
      <c r="O211" s="213" t="str">
        <f>"Guinee,Kankan,Siguiri,Doko, Siguiri-centre"</f>
        <v>Guinee,Kankan,Siguiri,Doko, Siguiri-centre</v>
      </c>
    </row>
    <row r="212" spans="2:15" x14ac:dyDescent="0.2">
      <c r="B212" s="218" t="str">
        <f>"22177"</f>
        <v>22177</v>
      </c>
      <c r="C212" s="218" t="str">
        <f>"A2017/022/MMG/DNM"</f>
        <v>A2017/022/MMG/DNM</v>
      </c>
      <c r="D212" s="218" t="s">
        <v>3213</v>
      </c>
      <c r="E212" s="213" t="s">
        <v>85</v>
      </c>
      <c r="F212" s="213" t="s">
        <v>644</v>
      </c>
      <c r="G212" s="213" t="s">
        <v>3144</v>
      </c>
      <c r="H212" s="213" t="s">
        <v>3145</v>
      </c>
      <c r="I212" s="228">
        <v>42914</v>
      </c>
      <c r="J212" s="229">
        <v>42933.639108796298</v>
      </c>
      <c r="K212" s="228">
        <v>42943</v>
      </c>
      <c r="L212" s="228">
        <v>44257</v>
      </c>
      <c r="M212" s="228">
        <v>44257</v>
      </c>
      <c r="N212" s="213" t="s">
        <v>3214</v>
      </c>
      <c r="O212" s="213" t="str">
        <f>"Guinee,Faranah,Kissidougo,Beindou (K), Kissidougou-cen"</f>
        <v>Guinee,Faranah,Kissidougo,Beindou (K), Kissidougou-cen</v>
      </c>
    </row>
    <row r="213" spans="2:15" x14ac:dyDescent="0.2">
      <c r="B213" s="218" t="str">
        <f>"22184"</f>
        <v>22184</v>
      </c>
      <c r="C213" s="218" t="str">
        <f>"A2017/054/MMG/DNM"</f>
        <v>A2017/054/MMG/DNM</v>
      </c>
      <c r="D213" s="218" t="s">
        <v>2180</v>
      </c>
      <c r="E213" s="213" t="s">
        <v>85</v>
      </c>
      <c r="F213" s="213" t="s">
        <v>1814</v>
      </c>
      <c r="G213" s="213" t="s">
        <v>3144</v>
      </c>
      <c r="H213" s="213" t="s">
        <v>3145</v>
      </c>
      <c r="I213" s="228">
        <v>42885</v>
      </c>
      <c r="J213" s="229">
        <v>42940.67355324074</v>
      </c>
      <c r="K213" s="228">
        <v>43000</v>
      </c>
      <c r="L213" s="228">
        <v>44257</v>
      </c>
      <c r="M213" s="228">
        <v>44257</v>
      </c>
      <c r="N213" s="213" t="s">
        <v>3215</v>
      </c>
      <c r="O213" s="213" t="str">
        <f>"Guinee,Kindia,Kindia,Madina-Oula, Souguéta"</f>
        <v>Guinee,Kindia,Kindia,Madina-Oula, Souguéta</v>
      </c>
    </row>
    <row r="214" spans="2:15" x14ac:dyDescent="0.2">
      <c r="B214" s="218" t="str">
        <f>"22197"</f>
        <v>22197</v>
      </c>
      <c r="C214" s="218" t="str">
        <f>""</f>
        <v/>
      </c>
      <c r="D214" s="218" t="s">
        <v>2426</v>
      </c>
      <c r="E214" s="213" t="s">
        <v>85</v>
      </c>
      <c r="F214" s="213" t="s">
        <v>640</v>
      </c>
      <c r="G214" s="213" t="s">
        <v>3144</v>
      </c>
      <c r="H214" s="213" t="s">
        <v>3145</v>
      </c>
      <c r="I214" s="228">
        <v>42944</v>
      </c>
      <c r="J214" s="229">
        <v>42956.460694444446</v>
      </c>
      <c r="K214" s="213"/>
      <c r="L214" s="228">
        <v>44257</v>
      </c>
      <c r="M214" s="228">
        <v>44257</v>
      </c>
      <c r="N214" s="213" t="s">
        <v>3216</v>
      </c>
      <c r="O214" s="213" t="str">
        <f>"Guinee,Faranah,Kissidougo,Manfran; Kankan,Kerouane,Soromaya"</f>
        <v>Guinee,Faranah,Kissidougo,Manfran; Kankan,Kerouane,Soromaya</v>
      </c>
    </row>
    <row r="215" spans="2:15" x14ac:dyDescent="0.2">
      <c r="B215" s="218" t="str">
        <f>"22204"</f>
        <v>22204</v>
      </c>
      <c r="C215" s="218" t="str">
        <f>""</f>
        <v/>
      </c>
      <c r="D215" s="218" t="s">
        <v>3217</v>
      </c>
      <c r="E215" s="213" t="s">
        <v>85</v>
      </c>
      <c r="F215" s="213" t="s">
        <v>644</v>
      </c>
      <c r="G215" s="213" t="s">
        <v>3144</v>
      </c>
      <c r="H215" s="213" t="s">
        <v>3145</v>
      </c>
      <c r="I215" s="228">
        <v>42940</v>
      </c>
      <c r="J215" s="229">
        <v>42968.583668981482</v>
      </c>
      <c r="K215" s="213"/>
      <c r="L215" s="228">
        <v>44257</v>
      </c>
      <c r="M215" s="228">
        <v>44257</v>
      </c>
      <c r="N215" s="213" t="s">
        <v>3218</v>
      </c>
      <c r="O215" s="213" t="str">
        <f>"Guinee,Kankan,Siguiri,Franwalia"</f>
        <v>Guinee,Kankan,Siguiri,Franwalia</v>
      </c>
    </row>
    <row r="216" spans="2:15" x14ac:dyDescent="0.2">
      <c r="B216" s="218" t="str">
        <f>"22207"</f>
        <v>22207</v>
      </c>
      <c r="C216" s="218" t="str">
        <f>""</f>
        <v/>
      </c>
      <c r="D216" s="215" t="s">
        <v>3219</v>
      </c>
      <c r="E216" s="213" t="s">
        <v>2735</v>
      </c>
      <c r="F216" s="213" t="s">
        <v>3220</v>
      </c>
      <c r="G216" s="213" t="s">
        <v>3144</v>
      </c>
      <c r="H216" s="213" t="s">
        <v>3145</v>
      </c>
      <c r="I216" s="213"/>
      <c r="J216" s="229">
        <v>42970.689444444448</v>
      </c>
      <c r="K216" s="213"/>
      <c r="L216" s="228">
        <v>44516</v>
      </c>
      <c r="M216" s="228">
        <v>44516</v>
      </c>
      <c r="N216" s="213" t="s">
        <v>3221</v>
      </c>
      <c r="O216" s="213" t="str">
        <f>"Guinee,Faranah,Dabola,Kindoye; Mamou,Mamou,Kégnéko, Ouré-Kaba"</f>
        <v>Guinee,Faranah,Dabola,Kindoye; Mamou,Mamou,Kégnéko, Ouré-Kaba</v>
      </c>
    </row>
    <row r="217" spans="2:15" x14ac:dyDescent="0.2">
      <c r="B217" s="218" t="str">
        <f>"22208"</f>
        <v>22208</v>
      </c>
      <c r="C217" s="218" t="str">
        <f>""</f>
        <v/>
      </c>
      <c r="D217" s="218" t="s">
        <v>3222</v>
      </c>
      <c r="E217" s="213" t="s">
        <v>85</v>
      </c>
      <c r="F217" s="213" t="s">
        <v>640</v>
      </c>
      <c r="G217" s="213" t="s">
        <v>3144</v>
      </c>
      <c r="H217" s="213" t="s">
        <v>3145</v>
      </c>
      <c r="I217" s="228">
        <v>42952</v>
      </c>
      <c r="J217" s="229">
        <v>42972.583414351851</v>
      </c>
      <c r="K217" s="213"/>
      <c r="L217" s="228">
        <v>44257</v>
      </c>
      <c r="M217" s="228">
        <v>44257</v>
      </c>
      <c r="N217" s="213" t="s">
        <v>3223</v>
      </c>
      <c r="O217" s="213" t="str">
        <f>"Guinee,Faranah,Kissidougo,Kondiadou; N'Zerekore,Gueckedou,Guendembou; Macenta,Watanka"</f>
        <v>Guinee,Faranah,Kissidougo,Kondiadou; N'Zerekore,Gueckedou,Guendembou; Macenta,Watanka</v>
      </c>
    </row>
    <row r="218" spans="2:15" x14ac:dyDescent="0.2">
      <c r="B218" s="218" t="str">
        <f>"22215"</f>
        <v>22215</v>
      </c>
      <c r="C218" s="218" t="str">
        <f>"A2018/6498/MMG/SGG"</f>
        <v>A2018/6498/MMG/SGG</v>
      </c>
      <c r="D218" s="218" t="s">
        <v>3224</v>
      </c>
      <c r="E218" s="213" t="s">
        <v>154</v>
      </c>
      <c r="F218" s="213" t="s">
        <v>644</v>
      </c>
      <c r="G218" s="213" t="s">
        <v>3144</v>
      </c>
      <c r="H218" s="213" t="s">
        <v>3145</v>
      </c>
      <c r="I218" s="228">
        <v>42963</v>
      </c>
      <c r="J218" s="229">
        <v>42977.405891203707</v>
      </c>
      <c r="K218" s="228">
        <v>43374</v>
      </c>
      <c r="L218" s="228">
        <v>44447</v>
      </c>
      <c r="M218" s="228">
        <v>44447</v>
      </c>
      <c r="N218" s="213" t="s">
        <v>3225</v>
      </c>
      <c r="O218" s="213" t="str">
        <f>"Guinee,Kankan,Kouroussa,Doura, Koumana, Kouroussa-centre, Sanguiana"</f>
        <v>Guinee,Kankan,Kouroussa,Doura, Koumana, Kouroussa-centre, Sanguiana</v>
      </c>
    </row>
    <row r="219" spans="2:15" x14ac:dyDescent="0.2">
      <c r="B219" s="218" t="str">
        <f>"22219"</f>
        <v>22219</v>
      </c>
      <c r="C219" s="218" t="str">
        <f>"A2017/5739/MMG/SGG"</f>
        <v>A2017/5739/MMG/SGG</v>
      </c>
      <c r="D219" s="218" t="s">
        <v>3226</v>
      </c>
      <c r="E219" s="213" t="s">
        <v>1820</v>
      </c>
      <c r="F219" s="213" t="s">
        <v>640</v>
      </c>
      <c r="G219" s="213" t="s">
        <v>3144</v>
      </c>
      <c r="H219" s="213" t="s">
        <v>3145</v>
      </c>
      <c r="I219" s="228">
        <v>42969</v>
      </c>
      <c r="J219" s="229">
        <v>42985.583032407405</v>
      </c>
      <c r="K219" s="228">
        <v>43027</v>
      </c>
      <c r="L219" s="228">
        <v>44418</v>
      </c>
      <c r="M219" s="228">
        <v>44418</v>
      </c>
      <c r="N219" s="213" t="s">
        <v>3227</v>
      </c>
      <c r="O219" s="213" t="str">
        <f>"Guinee,N'Zerekore,Macenta,Kouankan"</f>
        <v>Guinee,N'Zerekore,Macenta,Kouankan</v>
      </c>
    </row>
    <row r="220" spans="2:15" x14ac:dyDescent="0.2">
      <c r="B220" s="218" t="str">
        <f>"22221"</f>
        <v>22221</v>
      </c>
      <c r="C220" s="218" t="str">
        <f>""</f>
        <v/>
      </c>
      <c r="D220" s="218" t="s">
        <v>2512</v>
      </c>
      <c r="E220" s="213" t="s">
        <v>1754</v>
      </c>
      <c r="F220" s="213" t="s">
        <v>1781</v>
      </c>
      <c r="G220" s="213" t="s">
        <v>3144</v>
      </c>
      <c r="H220" s="213" t="s">
        <v>3145</v>
      </c>
      <c r="I220" s="228">
        <v>42885</v>
      </c>
      <c r="J220" s="229">
        <v>42989.730833333335</v>
      </c>
      <c r="K220" s="213"/>
      <c r="L220" s="228">
        <v>44369</v>
      </c>
      <c r="M220" s="228">
        <v>44369</v>
      </c>
      <c r="N220" s="213" t="s">
        <v>3228</v>
      </c>
      <c r="O220" s="213" t="str">
        <f>"Guinee,Boke,Boke,Malapouyah"</f>
        <v>Guinee,Boke,Boke,Malapouyah</v>
      </c>
    </row>
    <row r="221" spans="2:15" x14ac:dyDescent="0.2">
      <c r="B221" s="218" t="str">
        <f>"22228"</f>
        <v>22228</v>
      </c>
      <c r="C221" s="218" t="str">
        <f>"A2017/5737/MMG/SGG"</f>
        <v>A2017/5737/MMG/SGG</v>
      </c>
      <c r="D221" s="218" t="s">
        <v>2432</v>
      </c>
      <c r="E221" s="213" t="s">
        <v>1813</v>
      </c>
      <c r="F221" s="213" t="s">
        <v>1814</v>
      </c>
      <c r="G221" s="213" t="s">
        <v>3144</v>
      </c>
      <c r="H221" s="213" t="s">
        <v>3145</v>
      </c>
      <c r="I221" s="228">
        <v>43003</v>
      </c>
      <c r="J221" s="229">
        <v>43005.383958333332</v>
      </c>
      <c r="K221" s="228">
        <v>43027</v>
      </c>
      <c r="L221" s="228">
        <v>44456</v>
      </c>
      <c r="M221" s="228">
        <v>44309</v>
      </c>
      <c r="N221" s="213" t="s">
        <v>3229</v>
      </c>
      <c r="O221" s="213" t="str">
        <f>"Guinee,Kindia,Kindia,Madina-Oula"</f>
        <v>Guinee,Kindia,Kindia,Madina-Oula</v>
      </c>
    </row>
    <row r="222" spans="2:15" x14ac:dyDescent="0.2">
      <c r="B222" s="218" t="str">
        <f>"22229"</f>
        <v>22229</v>
      </c>
      <c r="C222" s="218" t="str">
        <f>"A2017/5738/MMG/SGG"</f>
        <v>A2017/5738/MMG/SGG</v>
      </c>
      <c r="D222" s="218" t="s">
        <v>2432</v>
      </c>
      <c r="E222" s="213" t="s">
        <v>1813</v>
      </c>
      <c r="F222" s="213" t="s">
        <v>1814</v>
      </c>
      <c r="G222" s="213" t="s">
        <v>3144</v>
      </c>
      <c r="H222" s="213" t="s">
        <v>3145</v>
      </c>
      <c r="I222" s="228">
        <v>43003</v>
      </c>
      <c r="J222" s="229">
        <v>43005.430312500001</v>
      </c>
      <c r="K222" s="228">
        <v>43027</v>
      </c>
      <c r="L222" s="228">
        <v>44294</v>
      </c>
      <c r="M222" s="228">
        <v>44294</v>
      </c>
      <c r="N222" s="213" t="s">
        <v>3230</v>
      </c>
      <c r="O222" s="213" t="str">
        <f>"Guinee,Labe,Mali,Lébékéren"</f>
        <v>Guinee,Labe,Mali,Lébékéren</v>
      </c>
    </row>
    <row r="223" spans="2:15" x14ac:dyDescent="0.2">
      <c r="B223" s="218" t="str">
        <f>"22232"</f>
        <v>22232</v>
      </c>
      <c r="C223" s="218" t="str">
        <f>"A2017/005/MMG/DNM"</f>
        <v>A2017/005/MMG/DNM</v>
      </c>
      <c r="D223" s="218" t="s">
        <v>3231</v>
      </c>
      <c r="E223" s="213" t="s">
        <v>85</v>
      </c>
      <c r="F223" s="213" t="s">
        <v>644</v>
      </c>
      <c r="G223" s="213" t="s">
        <v>3144</v>
      </c>
      <c r="H223" s="213" t="s">
        <v>3145</v>
      </c>
      <c r="I223" s="228">
        <v>42956</v>
      </c>
      <c r="J223" s="229">
        <v>43019.591203703705</v>
      </c>
      <c r="K223" s="228">
        <v>43033</v>
      </c>
      <c r="L223" s="228">
        <v>44257</v>
      </c>
      <c r="M223" s="228">
        <v>44257</v>
      </c>
      <c r="N223" s="213" t="s">
        <v>3232</v>
      </c>
      <c r="O223" s="213" t="str">
        <f>"Guinee,Kankan,Siguiri,Niagassola"</f>
        <v>Guinee,Kankan,Siguiri,Niagassola</v>
      </c>
    </row>
    <row r="224" spans="2:15" x14ac:dyDescent="0.2">
      <c r="B224" s="218" t="str">
        <f>"22238"</f>
        <v>22238</v>
      </c>
      <c r="C224" s="218" t="str">
        <f>"N°2017/064/MMG/DNM"</f>
        <v>N°2017/064/MMG/DNM</v>
      </c>
      <c r="D224" s="218" t="s">
        <v>3233</v>
      </c>
      <c r="E224" s="213" t="s">
        <v>85</v>
      </c>
      <c r="F224" s="213" t="s">
        <v>1758</v>
      </c>
      <c r="G224" s="213" t="s">
        <v>3144</v>
      </c>
      <c r="H224" s="213" t="s">
        <v>3234</v>
      </c>
      <c r="I224" s="228">
        <v>42851</v>
      </c>
      <c r="J224" s="229">
        <v>43026.590439814812</v>
      </c>
      <c r="K224" s="228">
        <v>43033</v>
      </c>
      <c r="L224" s="228">
        <v>44257</v>
      </c>
      <c r="M224" s="228">
        <v>44257</v>
      </c>
      <c r="N224" s="213" t="s">
        <v>3235</v>
      </c>
      <c r="O224" s="213" t="str">
        <f>"Guinee,Kankan,Kouroussa,Sanguiana"</f>
        <v>Guinee,Kankan,Kouroussa,Sanguiana</v>
      </c>
    </row>
    <row r="225" spans="2:15" x14ac:dyDescent="0.2">
      <c r="B225" s="218" t="str">
        <f>"22242"</f>
        <v>22242</v>
      </c>
      <c r="C225" s="218" t="str">
        <f>""</f>
        <v/>
      </c>
      <c r="D225" s="218" t="s">
        <v>3236</v>
      </c>
      <c r="E225" s="213" t="s">
        <v>85</v>
      </c>
      <c r="F225" s="213" t="s">
        <v>1575</v>
      </c>
      <c r="G225" s="213" t="s">
        <v>3144</v>
      </c>
      <c r="H225" s="213" t="s">
        <v>3145</v>
      </c>
      <c r="I225" s="228">
        <v>43014</v>
      </c>
      <c r="J225" s="229">
        <v>43031.583819444444</v>
      </c>
      <c r="K225" s="213"/>
      <c r="L225" s="228">
        <v>44257</v>
      </c>
      <c r="M225" s="228">
        <v>44257</v>
      </c>
      <c r="N225" s="213" t="s">
        <v>3237</v>
      </c>
      <c r="O225" s="213" t="str">
        <f>"Guinee,Faranah,Dinguiraye,Diatiféré"</f>
        <v>Guinee,Faranah,Dinguiraye,Diatiféré</v>
      </c>
    </row>
    <row r="226" spans="2:15" x14ac:dyDescent="0.2">
      <c r="B226" s="218" t="str">
        <f>"22245"</f>
        <v>22245</v>
      </c>
      <c r="C226" s="218" t="str">
        <f>""</f>
        <v/>
      </c>
      <c r="D226" s="218" t="s">
        <v>3238</v>
      </c>
      <c r="E226" s="213" t="s">
        <v>85</v>
      </c>
      <c r="F226" s="213" t="s">
        <v>644</v>
      </c>
      <c r="G226" s="213" t="s">
        <v>3144</v>
      </c>
      <c r="H226" s="213" t="s">
        <v>3145</v>
      </c>
      <c r="I226" s="228">
        <v>43033</v>
      </c>
      <c r="J226" s="229">
        <v>43035.640219907407</v>
      </c>
      <c r="K226" s="213"/>
      <c r="L226" s="228">
        <v>44257</v>
      </c>
      <c r="M226" s="228">
        <v>44257</v>
      </c>
      <c r="N226" s="213" t="s">
        <v>3239</v>
      </c>
      <c r="O226" s="213" t="str">
        <f>"Guinee,Kankan,Siguiri,Franwalia"</f>
        <v>Guinee,Kankan,Siguiri,Franwalia</v>
      </c>
    </row>
    <row r="227" spans="2:15" x14ac:dyDescent="0.2">
      <c r="B227" s="218" t="str">
        <f>"22246"</f>
        <v>22246</v>
      </c>
      <c r="C227" s="218" t="str">
        <f>""</f>
        <v/>
      </c>
      <c r="D227" s="218" t="s">
        <v>3240</v>
      </c>
      <c r="E227" s="213" t="s">
        <v>85</v>
      </c>
      <c r="F227" s="213" t="s">
        <v>644</v>
      </c>
      <c r="G227" s="213" t="s">
        <v>3144</v>
      </c>
      <c r="H227" s="213" t="s">
        <v>3145</v>
      </c>
      <c r="I227" s="228">
        <v>43033</v>
      </c>
      <c r="J227" s="229">
        <v>43035.661932870367</v>
      </c>
      <c r="K227" s="213"/>
      <c r="L227" s="228">
        <v>44257</v>
      </c>
      <c r="M227" s="228">
        <v>44257</v>
      </c>
      <c r="N227" s="213" t="s">
        <v>3241</v>
      </c>
      <c r="O227" s="213" t="str">
        <f>"Guinee,Kankan,Kouroussa,Doura; Siguiri,Norassoba"</f>
        <v>Guinee,Kankan,Kouroussa,Doura; Siguiri,Norassoba</v>
      </c>
    </row>
    <row r="228" spans="2:15" x14ac:dyDescent="0.2">
      <c r="B228" s="218" t="str">
        <f>"22249"</f>
        <v>22249</v>
      </c>
      <c r="C228" s="218" t="str">
        <f>"N°2017/069/MMG/DNM"</f>
        <v>N°2017/069/MMG/DNM</v>
      </c>
      <c r="D228" s="218" t="s">
        <v>3242</v>
      </c>
      <c r="E228" s="213" t="s">
        <v>85</v>
      </c>
      <c r="F228" s="213" t="s">
        <v>644</v>
      </c>
      <c r="G228" s="213" t="s">
        <v>3144</v>
      </c>
      <c r="H228" s="213" t="s">
        <v>3145</v>
      </c>
      <c r="I228" s="228">
        <v>43020</v>
      </c>
      <c r="J228" s="229">
        <v>43039.60833333333</v>
      </c>
      <c r="K228" s="228">
        <v>43041</v>
      </c>
      <c r="L228" s="228">
        <v>44257</v>
      </c>
      <c r="M228" s="228">
        <v>44257</v>
      </c>
      <c r="N228" s="213" t="s">
        <v>3243</v>
      </c>
      <c r="O228" s="213" t="str">
        <f>"Guinee,Kindia,Telimele,Thionthian"</f>
        <v>Guinee,Kindia,Telimele,Thionthian</v>
      </c>
    </row>
    <row r="229" spans="2:15" x14ac:dyDescent="0.2">
      <c r="B229" s="218" t="str">
        <f>"22258"</f>
        <v>22258</v>
      </c>
      <c r="C229" s="218" t="str">
        <f>"A2017/6561/MMG/SGG"</f>
        <v>A2017/6561/MMG/SGG</v>
      </c>
      <c r="D229" s="218" t="s">
        <v>2223</v>
      </c>
      <c r="E229" s="213" t="s">
        <v>154</v>
      </c>
      <c r="F229" s="213" t="s">
        <v>644</v>
      </c>
      <c r="G229" s="213" t="s">
        <v>3144</v>
      </c>
      <c r="H229" s="213" t="s">
        <v>3145</v>
      </c>
      <c r="I229" s="228">
        <v>43047</v>
      </c>
      <c r="J229" s="229">
        <v>43047.591180555559</v>
      </c>
      <c r="K229" s="228">
        <v>43075</v>
      </c>
      <c r="L229" s="228">
        <v>44351</v>
      </c>
      <c r="M229" s="228">
        <v>44351</v>
      </c>
      <c r="N229" s="213" t="s">
        <v>3244</v>
      </c>
      <c r="O229" s="213" t="str">
        <f>"Guinee,Kankan,Kouroussa,Komola-khoura; Siguiri,Norassoba"</f>
        <v>Guinee,Kankan,Kouroussa,Komola-khoura; Siguiri,Norassoba</v>
      </c>
    </row>
    <row r="230" spans="2:15" x14ac:dyDescent="0.2">
      <c r="B230" s="218" t="str">
        <f>"22261"</f>
        <v>22261</v>
      </c>
      <c r="C230" s="218" t="str">
        <f>"A2017/070/MMG/DNM"</f>
        <v>A2017/070/MMG/DNM</v>
      </c>
      <c r="D230" s="218" t="s">
        <v>2476</v>
      </c>
      <c r="E230" s="213" t="s">
        <v>85</v>
      </c>
      <c r="F230" s="213" t="s">
        <v>644</v>
      </c>
      <c r="G230" s="213" t="s">
        <v>3144</v>
      </c>
      <c r="H230" s="213" t="s">
        <v>3145</v>
      </c>
      <c r="I230" s="228">
        <v>42983</v>
      </c>
      <c r="J230" s="229">
        <v>43048.5781712963</v>
      </c>
      <c r="K230" s="228">
        <v>43059</v>
      </c>
      <c r="L230" s="228">
        <v>44257</v>
      </c>
      <c r="M230" s="228">
        <v>44257</v>
      </c>
      <c r="N230" s="213" t="s">
        <v>3245</v>
      </c>
      <c r="O230" s="213" t="str">
        <f>"Guinee,Kankan,Siguiri,Norassoba"</f>
        <v>Guinee,Kankan,Siguiri,Norassoba</v>
      </c>
    </row>
    <row r="231" spans="2:15" x14ac:dyDescent="0.2">
      <c r="B231" s="218" t="str">
        <f>"22284"</f>
        <v>22284</v>
      </c>
      <c r="C231" s="218" t="str">
        <f>"A2018/1846/MMG/SGG"</f>
        <v>A2018/1846/MMG/SGG</v>
      </c>
      <c r="D231" s="218" t="s">
        <v>3246</v>
      </c>
      <c r="E231" s="213" t="s">
        <v>154</v>
      </c>
      <c r="F231" s="213" t="s">
        <v>644</v>
      </c>
      <c r="G231" s="213" t="s">
        <v>3144</v>
      </c>
      <c r="H231" s="213" t="s">
        <v>3145</v>
      </c>
      <c r="I231" s="228">
        <v>43076</v>
      </c>
      <c r="J231" s="229">
        <v>43089.528553240743</v>
      </c>
      <c r="K231" s="228">
        <v>43182</v>
      </c>
      <c r="L231" s="228">
        <v>44518</v>
      </c>
      <c r="M231" s="228">
        <v>44518</v>
      </c>
      <c r="N231" s="213" t="s">
        <v>3241</v>
      </c>
      <c r="O231" s="213" t="str">
        <f>"Guinee,Kankan,Kouroussa,Doura; Siguiri,Norassoba"</f>
        <v>Guinee,Kankan,Kouroussa,Doura; Siguiri,Norassoba</v>
      </c>
    </row>
    <row r="232" spans="2:15" x14ac:dyDescent="0.2">
      <c r="B232" s="218" t="str">
        <f>"22285"</f>
        <v>22285</v>
      </c>
      <c r="C232" s="218" t="str">
        <f>"A2018/1845/MMG/SGG"</f>
        <v>A2018/1845/MMG/SGG</v>
      </c>
      <c r="D232" s="218" t="s">
        <v>3240</v>
      </c>
      <c r="E232" s="213" t="s">
        <v>154</v>
      </c>
      <c r="F232" s="213" t="s">
        <v>644</v>
      </c>
      <c r="G232" s="213" t="s">
        <v>3144</v>
      </c>
      <c r="H232" s="213" t="s">
        <v>3145</v>
      </c>
      <c r="I232" s="228">
        <v>43076</v>
      </c>
      <c r="J232" s="229">
        <v>43089.552916666667</v>
      </c>
      <c r="K232" s="228">
        <v>43182</v>
      </c>
      <c r="L232" s="228">
        <v>44306</v>
      </c>
      <c r="M232" s="228">
        <v>44306</v>
      </c>
      <c r="N232" s="213" t="s">
        <v>3247</v>
      </c>
      <c r="O232" s="213" t="str">
        <f>"Guinee,Kankan,Siguiri,Franwalia"</f>
        <v>Guinee,Kankan,Siguiri,Franwalia</v>
      </c>
    </row>
    <row r="233" spans="2:15" x14ac:dyDescent="0.2">
      <c r="B233" s="218" t="str">
        <f>"22296"</f>
        <v>22296</v>
      </c>
      <c r="C233" s="218" t="str">
        <f>""</f>
        <v/>
      </c>
      <c r="D233" s="218" t="s">
        <v>2632</v>
      </c>
      <c r="E233" s="213" t="s">
        <v>85</v>
      </c>
      <c r="F233" s="213" t="s">
        <v>644</v>
      </c>
      <c r="G233" s="213" t="s">
        <v>3144</v>
      </c>
      <c r="H233" s="213" t="s">
        <v>3145</v>
      </c>
      <c r="I233" s="228">
        <v>43096</v>
      </c>
      <c r="J233" s="229">
        <v>43110.491423611114</v>
      </c>
      <c r="K233" s="213"/>
      <c r="L233" s="228">
        <v>44257</v>
      </c>
      <c r="M233" s="228">
        <v>44257</v>
      </c>
      <c r="N233" s="213" t="s">
        <v>3248</v>
      </c>
      <c r="O233" s="213" t="str">
        <f>"Guinee,Kankan,Kankan,Balandougou"</f>
        <v>Guinee,Kankan,Kankan,Balandougou</v>
      </c>
    </row>
    <row r="234" spans="2:15" x14ac:dyDescent="0.2">
      <c r="B234" s="218" t="str">
        <f>"22299"</f>
        <v>22299</v>
      </c>
      <c r="C234" s="218" t="str">
        <f>"A2018/1097/MMG/SGG"</f>
        <v>A2018/1097/MMG/SGG</v>
      </c>
      <c r="D234" s="218" t="s">
        <v>3190</v>
      </c>
      <c r="E234" s="213" t="s">
        <v>154</v>
      </c>
      <c r="F234" s="213" t="s">
        <v>644</v>
      </c>
      <c r="G234" s="213" t="s">
        <v>3144</v>
      </c>
      <c r="H234" s="213" t="s">
        <v>3145</v>
      </c>
      <c r="I234" s="228">
        <v>43096</v>
      </c>
      <c r="J234" s="229">
        <v>43117.454155092593</v>
      </c>
      <c r="K234" s="228">
        <v>43173</v>
      </c>
      <c r="L234" s="228">
        <v>44306</v>
      </c>
      <c r="M234" s="228">
        <v>44306</v>
      </c>
      <c r="N234" s="213" t="s">
        <v>3249</v>
      </c>
      <c r="O234" s="213" t="str">
        <f>"Guinee,Kankan,Mandiana,Balandougouba, Dialokoro, Koundianakoro"</f>
        <v>Guinee,Kankan,Mandiana,Balandougouba, Dialokoro, Koundianakoro</v>
      </c>
    </row>
    <row r="235" spans="2:15" x14ac:dyDescent="0.2">
      <c r="B235" s="218" t="str">
        <f>"22311"</f>
        <v>22311</v>
      </c>
      <c r="C235" s="218" t="str">
        <f>""</f>
        <v/>
      </c>
      <c r="D235" s="218" t="s">
        <v>3250</v>
      </c>
      <c r="E235" s="213" t="s">
        <v>85</v>
      </c>
      <c r="F235" s="213" t="s">
        <v>2194</v>
      </c>
      <c r="G235" s="213" t="s">
        <v>3144</v>
      </c>
      <c r="H235" s="213" t="s">
        <v>3145</v>
      </c>
      <c r="I235" s="228">
        <v>43157</v>
      </c>
      <c r="J235" s="229">
        <v>43160.647291666668</v>
      </c>
      <c r="K235" s="213"/>
      <c r="L235" s="228">
        <v>44257</v>
      </c>
      <c r="M235" s="228">
        <v>44257</v>
      </c>
      <c r="N235" s="213" t="s">
        <v>3251</v>
      </c>
      <c r="O235" s="213" t="str">
        <f>"Guinee,Mamou,Dalaba,Kankalabé, Mombéyah"</f>
        <v>Guinee,Mamou,Dalaba,Kankalabé, Mombéyah</v>
      </c>
    </row>
    <row r="236" spans="2:15" x14ac:dyDescent="0.2">
      <c r="B236" s="218" t="str">
        <f>"22312"</f>
        <v>22312</v>
      </c>
      <c r="C236" s="218" t="str">
        <f>""</f>
        <v/>
      </c>
      <c r="D236" s="218" t="s">
        <v>3250</v>
      </c>
      <c r="E236" s="213" t="s">
        <v>85</v>
      </c>
      <c r="F236" s="213" t="s">
        <v>2194</v>
      </c>
      <c r="G236" s="213" t="s">
        <v>3144</v>
      </c>
      <c r="H236" s="213" t="s">
        <v>3145</v>
      </c>
      <c r="I236" s="228">
        <v>43157</v>
      </c>
      <c r="J236" s="229">
        <v>43160.671597222223</v>
      </c>
      <c r="K236" s="213"/>
      <c r="L236" s="228">
        <v>44257</v>
      </c>
      <c r="M236" s="228">
        <v>44257</v>
      </c>
      <c r="N236" s="213" t="s">
        <v>3252</v>
      </c>
      <c r="O236" s="213" t="str">
        <f>"Guinee,Labe,Mali,Balaki"</f>
        <v>Guinee,Labe,Mali,Balaki</v>
      </c>
    </row>
    <row r="237" spans="2:15" x14ac:dyDescent="0.2">
      <c r="B237" s="218" t="str">
        <f>"22314"</f>
        <v>22314</v>
      </c>
      <c r="C237" s="218" t="str">
        <f>"N°2018/008/MMG/DNM"</f>
        <v>N°2018/008/MMG/DNM</v>
      </c>
      <c r="D237" s="218" t="s">
        <v>3250</v>
      </c>
      <c r="E237" s="213" t="s">
        <v>85</v>
      </c>
      <c r="F237" s="213" t="s">
        <v>2439</v>
      </c>
      <c r="G237" s="213" t="s">
        <v>3144</v>
      </c>
      <c r="H237" s="213" t="s">
        <v>3145</v>
      </c>
      <c r="I237" s="228">
        <v>43157</v>
      </c>
      <c r="J237" s="229">
        <v>43160.681192129632</v>
      </c>
      <c r="K237" s="228">
        <v>43161</v>
      </c>
      <c r="L237" s="228">
        <v>44257</v>
      </c>
      <c r="M237" s="228">
        <v>44257</v>
      </c>
      <c r="N237" s="213" t="s">
        <v>3253</v>
      </c>
      <c r="O237" s="213" t="str">
        <f>"Guinee,Faranah,Faranah,Banian, Songoyah"</f>
        <v>Guinee,Faranah,Faranah,Banian, Songoyah</v>
      </c>
    </row>
    <row r="238" spans="2:15" x14ac:dyDescent="0.2">
      <c r="B238" s="218" t="str">
        <f>"22316"</f>
        <v>22316</v>
      </c>
      <c r="C238" s="218" t="str">
        <f>""</f>
        <v/>
      </c>
      <c r="D238" s="218" t="s">
        <v>3250</v>
      </c>
      <c r="E238" s="213" t="s">
        <v>85</v>
      </c>
      <c r="F238" s="213" t="s">
        <v>1575</v>
      </c>
      <c r="G238" s="213" t="s">
        <v>3144</v>
      </c>
      <c r="H238" s="213" t="s">
        <v>3145</v>
      </c>
      <c r="I238" s="228">
        <v>43157</v>
      </c>
      <c r="J238" s="229">
        <v>43160.70521990741</v>
      </c>
      <c r="K238" s="213"/>
      <c r="L238" s="228">
        <v>44257</v>
      </c>
      <c r="M238" s="228">
        <v>44257</v>
      </c>
      <c r="N238" s="213" t="s">
        <v>3254</v>
      </c>
      <c r="O238" s="213" t="str">
        <f>"Guinee,Boke,Gaoual,Foulamory; Koundara,Sarébo'do"</f>
        <v>Guinee,Boke,Gaoual,Foulamory; Koundara,Sarébo'do</v>
      </c>
    </row>
    <row r="239" spans="2:15" x14ac:dyDescent="0.2">
      <c r="B239" s="218" t="str">
        <f>"22326"</f>
        <v>22326</v>
      </c>
      <c r="C239" s="218" t="str">
        <f>"A2018/1839/MMG/SGG"</f>
        <v>A2018/1839/MMG/SGG</v>
      </c>
      <c r="D239" s="218" t="s">
        <v>1582</v>
      </c>
      <c r="E239" s="213" t="s">
        <v>254</v>
      </c>
      <c r="F239" s="213" t="s">
        <v>1568</v>
      </c>
      <c r="G239" s="213" t="s">
        <v>3144</v>
      </c>
      <c r="H239" s="213" t="s">
        <v>3145</v>
      </c>
      <c r="I239" s="228">
        <v>43118</v>
      </c>
      <c r="J239" s="229">
        <v>43179.615868055553</v>
      </c>
      <c r="K239" s="228">
        <v>43182</v>
      </c>
      <c r="L239" s="228">
        <v>44524</v>
      </c>
      <c r="M239" s="228">
        <v>44524</v>
      </c>
      <c r="N239" s="213" t="s">
        <v>3255</v>
      </c>
      <c r="O239" s="213" t="str">
        <f>"Guinee,Kindia,Telimele,Daramagnak, Konsotami, Missira"</f>
        <v>Guinee,Kindia,Telimele,Daramagnak, Konsotami, Missira</v>
      </c>
    </row>
    <row r="240" spans="2:15" x14ac:dyDescent="0.2">
      <c r="B240" s="218" t="str">
        <f>"22363"</f>
        <v>22363</v>
      </c>
      <c r="C240" s="215" t="str">
        <f>"N°2018/011/MMG/DNM"</f>
        <v>N°2018/011/MMG/DNM</v>
      </c>
      <c r="D240" s="215" t="s">
        <v>3256</v>
      </c>
      <c r="E240" s="213" t="s">
        <v>85</v>
      </c>
      <c r="F240" s="213" t="s">
        <v>640</v>
      </c>
      <c r="G240" s="213" t="s">
        <v>3144</v>
      </c>
      <c r="H240" s="213" t="s">
        <v>3145</v>
      </c>
      <c r="I240" s="228">
        <v>43198</v>
      </c>
      <c r="J240" s="229">
        <v>43242.487164351849</v>
      </c>
      <c r="K240" s="228">
        <v>43244</v>
      </c>
      <c r="L240" s="228">
        <v>44257</v>
      </c>
      <c r="M240" s="228">
        <v>44257</v>
      </c>
      <c r="N240" s="213" t="s">
        <v>3257</v>
      </c>
      <c r="O240" s="213" t="str">
        <f>"Guinee,N'Zerekore,Macenta,Kouankan"</f>
        <v>Guinee,N'Zerekore,Macenta,Kouankan</v>
      </c>
    </row>
    <row r="241" spans="2:15" x14ac:dyDescent="0.2">
      <c r="B241" s="218" t="str">
        <f>"22365"</f>
        <v>22365</v>
      </c>
      <c r="C241" s="218" t="str">
        <f>""</f>
        <v/>
      </c>
      <c r="D241" s="218" t="s">
        <v>2243</v>
      </c>
      <c r="E241" s="213" t="s">
        <v>85</v>
      </c>
      <c r="F241" s="213" t="s">
        <v>644</v>
      </c>
      <c r="G241" s="213" t="s">
        <v>3144</v>
      </c>
      <c r="H241" s="213" t="s">
        <v>3145</v>
      </c>
      <c r="I241" s="228">
        <v>43217</v>
      </c>
      <c r="J241" s="229">
        <v>43242.556076388886</v>
      </c>
      <c r="K241" s="213"/>
      <c r="L241" s="228">
        <v>44257</v>
      </c>
      <c r="M241" s="228">
        <v>44257</v>
      </c>
      <c r="N241" s="213" t="s">
        <v>3258</v>
      </c>
      <c r="O241" s="213" t="str">
        <f>"Guinee,Kankan,Mandiana,Kiniéran, Koundian, Morodou"</f>
        <v>Guinee,Kankan,Mandiana,Kiniéran, Koundian, Morodou</v>
      </c>
    </row>
    <row r="242" spans="2:15" x14ac:dyDescent="0.2">
      <c r="B242" s="218" t="str">
        <f>"22379"</f>
        <v>22379</v>
      </c>
      <c r="C242" s="218" t="str">
        <f>"N°2018/014/MMG/DNM"</f>
        <v>N°2018/014/MMG/DNM</v>
      </c>
      <c r="D242" s="218" t="s">
        <v>2266</v>
      </c>
      <c r="E242" s="213" t="s">
        <v>85</v>
      </c>
      <c r="F242" s="213" t="s">
        <v>1758</v>
      </c>
      <c r="G242" s="213" t="s">
        <v>3144</v>
      </c>
      <c r="H242" s="213" t="s">
        <v>3145</v>
      </c>
      <c r="I242" s="228">
        <v>43216</v>
      </c>
      <c r="J242" s="229">
        <v>43255.713356481479</v>
      </c>
      <c r="K242" s="228">
        <v>43257</v>
      </c>
      <c r="L242" s="228">
        <v>44257</v>
      </c>
      <c r="M242" s="228">
        <v>44257</v>
      </c>
      <c r="N242" s="213" t="s">
        <v>3259</v>
      </c>
      <c r="O242" s="213" t="str">
        <f>"Guinee,Boke,Boffa,Tougnifily"</f>
        <v>Guinee,Boke,Boffa,Tougnifily</v>
      </c>
    </row>
    <row r="243" spans="2:15" x14ac:dyDescent="0.2">
      <c r="B243" s="218" t="str">
        <f>"22380"</f>
        <v>22380</v>
      </c>
      <c r="C243" s="218" t="str">
        <f>""</f>
        <v/>
      </c>
      <c r="D243" s="215" t="s">
        <v>1607</v>
      </c>
      <c r="E243" s="213" t="s">
        <v>85</v>
      </c>
      <c r="F243" s="213" t="s">
        <v>1568</v>
      </c>
      <c r="G243" s="213" t="s">
        <v>3144</v>
      </c>
      <c r="H243" s="213" t="s">
        <v>3145</v>
      </c>
      <c r="I243" s="228">
        <v>43243</v>
      </c>
      <c r="J243" s="229">
        <v>43256.647847222222</v>
      </c>
      <c r="K243" s="213"/>
      <c r="L243" s="228">
        <v>44257</v>
      </c>
      <c r="M243" s="228">
        <v>44257</v>
      </c>
      <c r="N243" s="213" t="s">
        <v>3260</v>
      </c>
      <c r="O243" s="213" t="str">
        <f>"Guinee,Kindia,Kindia,Souguéta; Mamou,Dalaba,Dalaba-centre, Koba, Mitty; Mamou,Bouliwel; Pita,Gongoret (P)"</f>
        <v>Guinee,Kindia,Kindia,Souguéta; Mamou,Dalaba,Dalaba-centre, Koba, Mitty; Mamou,Bouliwel; Pita,Gongoret (P)</v>
      </c>
    </row>
    <row r="244" spans="2:15" x14ac:dyDescent="0.2">
      <c r="B244" s="218" t="str">
        <f>"22381"</f>
        <v>22381</v>
      </c>
      <c r="C244" s="218" t="str">
        <f>""</f>
        <v/>
      </c>
      <c r="D244" s="215" t="s">
        <v>1607</v>
      </c>
      <c r="E244" s="213" t="s">
        <v>85</v>
      </c>
      <c r="F244" s="213" t="s">
        <v>1568</v>
      </c>
      <c r="G244" s="213" t="s">
        <v>3144</v>
      </c>
      <c r="H244" s="213" t="s">
        <v>3145</v>
      </c>
      <c r="I244" s="228">
        <v>43243</v>
      </c>
      <c r="J244" s="229">
        <v>43256.662534722222</v>
      </c>
      <c r="K244" s="213"/>
      <c r="L244" s="228">
        <v>44257</v>
      </c>
      <c r="M244" s="228">
        <v>44257</v>
      </c>
      <c r="N244" s="213" t="s">
        <v>3261</v>
      </c>
      <c r="O244" s="213" t="str">
        <f>"Guinee,Mamou,Dalaba,Dalaba-centre, Mitty; Pita,Gongoret (P), Maci"</f>
        <v>Guinee,Mamou,Dalaba,Dalaba-centre, Mitty; Pita,Gongoret (P), Maci</v>
      </c>
    </row>
    <row r="245" spans="2:15" x14ac:dyDescent="0.2">
      <c r="B245" s="218" t="str">
        <f>"22383"</f>
        <v>22383</v>
      </c>
      <c r="C245" s="218" t="str">
        <f>"A2018/4871/MMG/SGG"</f>
        <v>A2018/4871/MMG/SGG</v>
      </c>
      <c r="D245" s="218" t="s">
        <v>1582</v>
      </c>
      <c r="E245" s="213" t="s">
        <v>254</v>
      </c>
      <c r="F245" s="213" t="s">
        <v>1568</v>
      </c>
      <c r="G245" s="213" t="s">
        <v>3144</v>
      </c>
      <c r="H245" s="213" t="s">
        <v>3145</v>
      </c>
      <c r="I245" s="228">
        <v>43248</v>
      </c>
      <c r="J245" s="229">
        <v>43259.514710648145</v>
      </c>
      <c r="K245" s="228">
        <v>43265</v>
      </c>
      <c r="L245" s="228">
        <v>44519</v>
      </c>
      <c r="M245" s="228">
        <v>44519</v>
      </c>
      <c r="N245" s="213" t="s">
        <v>3262</v>
      </c>
      <c r="O245" s="213" t="str">
        <f>"Guinee,Kindia,Telimele,Daramagnak, Missira"</f>
        <v>Guinee,Kindia,Telimele,Daramagnak, Missira</v>
      </c>
    </row>
    <row r="246" spans="2:15" x14ac:dyDescent="0.2">
      <c r="B246" s="218" t="str">
        <f>"22390"</f>
        <v>22390</v>
      </c>
      <c r="C246" s="218" t="str">
        <f>""</f>
        <v/>
      </c>
      <c r="D246" s="218" t="s">
        <v>3263</v>
      </c>
      <c r="E246" s="213" t="s">
        <v>85</v>
      </c>
      <c r="F246" s="213" t="s">
        <v>644</v>
      </c>
      <c r="G246" s="213" t="s">
        <v>3144</v>
      </c>
      <c r="H246" s="213" t="s">
        <v>3145</v>
      </c>
      <c r="I246" s="228">
        <v>43247</v>
      </c>
      <c r="J246" s="229">
        <v>43264.650717592594</v>
      </c>
      <c r="K246" s="213"/>
      <c r="L246" s="228">
        <v>44257</v>
      </c>
      <c r="M246" s="228">
        <v>44257</v>
      </c>
      <c r="N246" s="213" t="s">
        <v>3264</v>
      </c>
      <c r="O246" s="213" t="str">
        <f>"Guinee,Boke,Boke,Kanfarandé"</f>
        <v>Guinee,Boke,Boke,Kanfarandé</v>
      </c>
    </row>
    <row r="247" spans="2:15" x14ac:dyDescent="0.2">
      <c r="B247" s="218" t="str">
        <f>"22391"</f>
        <v>22391</v>
      </c>
      <c r="C247" s="218" t="str">
        <f>""</f>
        <v/>
      </c>
      <c r="D247" s="218" t="s">
        <v>3265</v>
      </c>
      <c r="E247" s="213" t="s">
        <v>85</v>
      </c>
      <c r="F247" s="213" t="s">
        <v>644</v>
      </c>
      <c r="G247" s="213" t="s">
        <v>3144</v>
      </c>
      <c r="H247" s="213" t="s">
        <v>3145</v>
      </c>
      <c r="I247" s="228">
        <v>43247</v>
      </c>
      <c r="J247" s="229">
        <v>43264.671446759261</v>
      </c>
      <c r="K247" s="213"/>
      <c r="L247" s="228">
        <v>44257</v>
      </c>
      <c r="M247" s="228">
        <v>44257</v>
      </c>
      <c r="N247" s="213" t="s">
        <v>3266</v>
      </c>
      <c r="O247" s="213" t="str">
        <f>"Guinee,Boke,Boke,Boké-centre, Kanfarandé, Kolaboui, Tanéné"</f>
        <v>Guinee,Boke,Boke,Boké-centre, Kanfarandé, Kolaboui, Tanéné</v>
      </c>
    </row>
    <row r="248" spans="2:15" x14ac:dyDescent="0.2">
      <c r="B248" s="218" t="str">
        <f>"22392"</f>
        <v>22392</v>
      </c>
      <c r="C248" s="218" t="str">
        <f>""</f>
        <v/>
      </c>
      <c r="D248" s="218" t="s">
        <v>3265</v>
      </c>
      <c r="E248" s="213" t="s">
        <v>85</v>
      </c>
      <c r="F248" s="213" t="s">
        <v>644</v>
      </c>
      <c r="G248" s="213" t="s">
        <v>3144</v>
      </c>
      <c r="H248" s="213" t="s">
        <v>3145</v>
      </c>
      <c r="I248" s="228">
        <v>43247</v>
      </c>
      <c r="J248" s="229">
        <v>43264.68273148148</v>
      </c>
      <c r="K248" s="213"/>
      <c r="L248" s="228">
        <v>44257</v>
      </c>
      <c r="M248" s="228">
        <v>44257</v>
      </c>
      <c r="N248" s="213" t="s">
        <v>3267</v>
      </c>
      <c r="O248" s="213" t="str">
        <f>"Guinee,Boke,Boke,Sansalé"</f>
        <v>Guinee,Boke,Boke,Sansalé</v>
      </c>
    </row>
    <row r="249" spans="2:15" x14ac:dyDescent="0.2">
      <c r="B249" s="218" t="str">
        <f>"22402"</f>
        <v>22402</v>
      </c>
      <c r="C249" s="218" t="str">
        <f>""</f>
        <v/>
      </c>
      <c r="D249" s="218" t="s">
        <v>3268</v>
      </c>
      <c r="E249" s="213" t="s">
        <v>85</v>
      </c>
      <c r="F249" s="213" t="s">
        <v>644</v>
      </c>
      <c r="G249" s="213" t="s">
        <v>3144</v>
      </c>
      <c r="H249" s="213" t="s">
        <v>3145</v>
      </c>
      <c r="I249" s="228">
        <v>43259</v>
      </c>
      <c r="J249" s="229">
        <v>43287.54482638889</v>
      </c>
      <c r="K249" s="213"/>
      <c r="L249" s="228">
        <v>44257</v>
      </c>
      <c r="M249" s="228">
        <v>44257</v>
      </c>
      <c r="N249" s="213" t="s">
        <v>3269</v>
      </c>
      <c r="O249" s="213" t="str">
        <f>"Guinee,Kankan,Mandiana,Kantoumanina, Saladou"</f>
        <v>Guinee,Kankan,Mandiana,Kantoumanina, Saladou</v>
      </c>
    </row>
    <row r="250" spans="2:15" x14ac:dyDescent="0.2">
      <c r="B250" s="218" t="str">
        <f>"22403"</f>
        <v>22403</v>
      </c>
      <c r="C250" s="218" t="str">
        <f>""</f>
        <v/>
      </c>
      <c r="D250" s="218" t="s">
        <v>3268</v>
      </c>
      <c r="E250" s="213" t="s">
        <v>85</v>
      </c>
      <c r="F250" s="213" t="s">
        <v>644</v>
      </c>
      <c r="G250" s="213" t="s">
        <v>3144</v>
      </c>
      <c r="H250" s="213" t="s">
        <v>3145</v>
      </c>
      <c r="I250" s="228">
        <v>43259</v>
      </c>
      <c r="J250" s="229">
        <v>43287.570324074077</v>
      </c>
      <c r="K250" s="213"/>
      <c r="L250" s="228">
        <v>44257</v>
      </c>
      <c r="M250" s="228">
        <v>44257</v>
      </c>
      <c r="N250" s="213" t="s">
        <v>3270</v>
      </c>
      <c r="O250" s="213" t="str">
        <f>"Guinee,Kankan,Mandiana,Faralako, Saladou"</f>
        <v>Guinee,Kankan,Mandiana,Faralako, Saladou</v>
      </c>
    </row>
    <row r="251" spans="2:15" x14ac:dyDescent="0.2">
      <c r="B251" s="218" t="str">
        <f>"22410"</f>
        <v>22410</v>
      </c>
      <c r="C251" s="218" t="s">
        <v>3271</v>
      </c>
      <c r="D251" s="218" t="s">
        <v>1564</v>
      </c>
      <c r="E251" s="213" t="s">
        <v>85</v>
      </c>
      <c r="F251" s="213" t="s">
        <v>644</v>
      </c>
      <c r="G251" s="213" t="s">
        <v>3144</v>
      </c>
      <c r="H251" s="213" t="s">
        <v>3145</v>
      </c>
      <c r="I251" s="228">
        <v>43262</v>
      </c>
      <c r="J251" s="229">
        <v>43300.659282407411</v>
      </c>
      <c r="K251" s="228">
        <v>43770</v>
      </c>
      <c r="L251" s="228">
        <v>44257</v>
      </c>
      <c r="M251" s="228">
        <v>44257</v>
      </c>
      <c r="N251" s="213" t="s">
        <v>3272</v>
      </c>
      <c r="O251" s="213" t="str">
        <f>"Guinee,Kankan,Kouroussa,Sanguiana; Siguiri,Norassoba"</f>
        <v>Guinee,Kankan,Kouroussa,Sanguiana; Siguiri,Norassoba</v>
      </c>
    </row>
    <row r="252" spans="2:15" x14ac:dyDescent="0.2">
      <c r="B252" s="218" t="str">
        <f>"22412"</f>
        <v>22412</v>
      </c>
      <c r="C252" s="218" t="str">
        <f>"N02018/MMG/DNM"</f>
        <v>N02018/MMG/DNM</v>
      </c>
      <c r="D252" s="218" t="s">
        <v>3273</v>
      </c>
      <c r="E252" s="213" t="s">
        <v>85</v>
      </c>
      <c r="F252" s="213" t="s">
        <v>644</v>
      </c>
      <c r="G252" s="213" t="s">
        <v>3144</v>
      </c>
      <c r="H252" s="213" t="s">
        <v>3145</v>
      </c>
      <c r="I252" s="228">
        <v>43217</v>
      </c>
      <c r="J252" s="229">
        <v>43300.701099537036</v>
      </c>
      <c r="K252" s="228">
        <v>43319</v>
      </c>
      <c r="L252" s="228">
        <v>44257</v>
      </c>
      <c r="M252" s="228">
        <v>44257</v>
      </c>
      <c r="N252" s="213" t="s">
        <v>3274</v>
      </c>
      <c r="O252" s="213" t="str">
        <f>"Guinee,Kankan,Kerouane,Kérouané-centre, Komodou"</f>
        <v>Guinee,Kankan,Kerouane,Kérouané-centre, Komodou</v>
      </c>
    </row>
    <row r="253" spans="2:15" x14ac:dyDescent="0.2">
      <c r="B253" s="218" t="str">
        <f>"22462"</f>
        <v>22462</v>
      </c>
      <c r="C253" s="218" t="str">
        <f>""</f>
        <v/>
      </c>
      <c r="D253" s="218" t="s">
        <v>2426</v>
      </c>
      <c r="E253" s="213" t="s">
        <v>85</v>
      </c>
      <c r="F253" s="213" t="s">
        <v>1568</v>
      </c>
      <c r="G253" s="213" t="s">
        <v>3144</v>
      </c>
      <c r="H253" s="213" t="s">
        <v>3145</v>
      </c>
      <c r="I253" s="228">
        <v>43362</v>
      </c>
      <c r="J253" s="229">
        <v>43368.630104166667</v>
      </c>
      <c r="K253" s="213"/>
      <c r="L253" s="228">
        <v>44257</v>
      </c>
      <c r="M253" s="228">
        <v>44257</v>
      </c>
      <c r="N253" s="213" t="s">
        <v>3275</v>
      </c>
      <c r="O253" s="213" t="str">
        <f>"Guinee,Kindia,Kindia,Kindia-centre, Kolenté, Madina-Oula, Molota"</f>
        <v>Guinee,Kindia,Kindia,Kindia-centre, Kolenté, Madina-Oula, Molota</v>
      </c>
    </row>
    <row r="254" spans="2:15" x14ac:dyDescent="0.2">
      <c r="B254" s="218" t="str">
        <f>"22464"</f>
        <v>22464</v>
      </c>
      <c r="C254" s="218" t="str">
        <f>""</f>
        <v/>
      </c>
      <c r="D254" s="218" t="s">
        <v>3276</v>
      </c>
      <c r="E254" s="213" t="s">
        <v>85</v>
      </c>
      <c r="F254" s="213" t="s">
        <v>644</v>
      </c>
      <c r="G254" s="213" t="s">
        <v>3144</v>
      </c>
      <c r="H254" s="213" t="s">
        <v>3145</v>
      </c>
      <c r="I254" s="228">
        <v>43356</v>
      </c>
      <c r="J254" s="229">
        <v>43374.61409722222</v>
      </c>
      <c r="K254" s="213"/>
      <c r="L254" s="228">
        <v>44257</v>
      </c>
      <c r="M254" s="228">
        <v>44257</v>
      </c>
      <c r="N254" s="213" t="s">
        <v>3277</v>
      </c>
      <c r="O254" s="213" t="str">
        <f>"Guinee,Faranah,Dinguiraye,Dinguiraye-cent; Kankan,Kouroussa,Komola-khoura"</f>
        <v>Guinee,Faranah,Dinguiraye,Dinguiraye-cent; Kankan,Kouroussa,Komola-khoura</v>
      </c>
    </row>
    <row r="255" spans="2:15" x14ac:dyDescent="0.2">
      <c r="B255" s="218" t="str">
        <f>"22465"</f>
        <v>22465</v>
      </c>
      <c r="C255" s="218" t="str">
        <f>""</f>
        <v/>
      </c>
      <c r="D255" s="218" t="s">
        <v>3276</v>
      </c>
      <c r="E255" s="213" t="s">
        <v>85</v>
      </c>
      <c r="F255" s="213" t="s">
        <v>644</v>
      </c>
      <c r="G255" s="213" t="s">
        <v>3144</v>
      </c>
      <c r="H255" s="213" t="s">
        <v>3145</v>
      </c>
      <c r="I255" s="228">
        <v>43356</v>
      </c>
      <c r="J255" s="229">
        <v>43374.631053240744</v>
      </c>
      <c r="K255" s="213"/>
      <c r="L255" s="228">
        <v>44257</v>
      </c>
      <c r="M255" s="228">
        <v>44257</v>
      </c>
      <c r="N255" s="213" t="s">
        <v>3278</v>
      </c>
      <c r="O255" s="213" t="str">
        <f>"Guinee,Kankan,Kouroussa,Komola-khoura"</f>
        <v>Guinee,Kankan,Kouroussa,Komola-khoura</v>
      </c>
    </row>
    <row r="256" spans="2:15" x14ac:dyDescent="0.2">
      <c r="B256" s="218" t="str">
        <f>"22466"</f>
        <v>22466</v>
      </c>
      <c r="C256" s="218" t="str">
        <f>""</f>
        <v/>
      </c>
      <c r="D256" s="218" t="s">
        <v>3279</v>
      </c>
      <c r="E256" s="213" t="s">
        <v>85</v>
      </c>
      <c r="F256" s="213" t="s">
        <v>644</v>
      </c>
      <c r="G256" s="213" t="s">
        <v>3144</v>
      </c>
      <c r="H256" s="213" t="s">
        <v>3145</v>
      </c>
      <c r="I256" s="228">
        <v>43356</v>
      </c>
      <c r="J256" s="229">
        <v>43374.643055555556</v>
      </c>
      <c r="K256" s="213"/>
      <c r="L256" s="228">
        <v>44257</v>
      </c>
      <c r="M256" s="228">
        <v>44257</v>
      </c>
      <c r="N256" s="213" t="s">
        <v>3280</v>
      </c>
      <c r="O256" s="213" t="str">
        <f>"Guinee,Kankan,Kouroussa,Komola-khoura"</f>
        <v>Guinee,Kankan,Kouroussa,Komola-khoura</v>
      </c>
    </row>
    <row r="257" spans="2:15" x14ac:dyDescent="0.2">
      <c r="B257" s="218" t="str">
        <f>"22467"</f>
        <v>22467</v>
      </c>
      <c r="C257" s="218" t="str">
        <f>""</f>
        <v/>
      </c>
      <c r="D257" s="218" t="s">
        <v>3279</v>
      </c>
      <c r="E257" s="213" t="s">
        <v>85</v>
      </c>
      <c r="F257" s="213" t="s">
        <v>644</v>
      </c>
      <c r="G257" s="213" t="s">
        <v>3144</v>
      </c>
      <c r="H257" s="213" t="s">
        <v>3145</v>
      </c>
      <c r="I257" s="228">
        <v>43356</v>
      </c>
      <c r="J257" s="229">
        <v>43374.658680555556</v>
      </c>
      <c r="K257" s="213"/>
      <c r="L257" s="228">
        <v>44257</v>
      </c>
      <c r="M257" s="228">
        <v>44257</v>
      </c>
      <c r="N257" s="213" t="s">
        <v>3281</v>
      </c>
      <c r="O257" s="213" t="str">
        <f>"Guinee,Kankan,Kouroussa,Komola-khoura"</f>
        <v>Guinee,Kankan,Kouroussa,Komola-khoura</v>
      </c>
    </row>
    <row r="258" spans="2:15" x14ac:dyDescent="0.2">
      <c r="B258" s="218" t="str">
        <f>"22468"</f>
        <v>22468</v>
      </c>
      <c r="C258" s="218" t="str">
        <f>""</f>
        <v/>
      </c>
      <c r="D258" s="218" t="s">
        <v>3282</v>
      </c>
      <c r="E258" s="213" t="s">
        <v>85</v>
      </c>
      <c r="F258" s="213" t="s">
        <v>644</v>
      </c>
      <c r="G258" s="213" t="s">
        <v>3144</v>
      </c>
      <c r="H258" s="213" t="s">
        <v>3145</v>
      </c>
      <c r="I258" s="228">
        <v>43377</v>
      </c>
      <c r="J258" s="229">
        <v>43381.493344907409</v>
      </c>
      <c r="K258" s="213"/>
      <c r="L258" s="228">
        <v>44257</v>
      </c>
      <c r="M258" s="228">
        <v>44257</v>
      </c>
      <c r="N258" s="213" t="s">
        <v>3283</v>
      </c>
      <c r="O258" s="213" t="str">
        <f>"Guinee,Kankan,Kouroussa,Komola-khoura"</f>
        <v>Guinee,Kankan,Kouroussa,Komola-khoura</v>
      </c>
    </row>
    <row r="259" spans="2:15" x14ac:dyDescent="0.2">
      <c r="B259" s="218" t="str">
        <f>"22470"</f>
        <v>22470</v>
      </c>
      <c r="C259" s="218" t="str">
        <f>""</f>
        <v/>
      </c>
      <c r="D259" s="218" t="s">
        <v>3282</v>
      </c>
      <c r="E259" s="213" t="s">
        <v>85</v>
      </c>
      <c r="F259" s="213" t="s">
        <v>644</v>
      </c>
      <c r="G259" s="213" t="s">
        <v>3144</v>
      </c>
      <c r="H259" s="213" t="s">
        <v>3145</v>
      </c>
      <c r="I259" s="228">
        <v>43377</v>
      </c>
      <c r="J259" s="229">
        <v>43381.522326388891</v>
      </c>
      <c r="K259" s="213"/>
      <c r="L259" s="228">
        <v>44257</v>
      </c>
      <c r="M259" s="228">
        <v>44257</v>
      </c>
      <c r="N259" s="213" t="s">
        <v>3284</v>
      </c>
      <c r="O259" s="213" t="str">
        <f>"Guinee,Kankan,Kouroussa,Komola-khoura, Sanguiana"</f>
        <v>Guinee,Kankan,Kouroussa,Komola-khoura, Sanguiana</v>
      </c>
    </row>
    <row r="260" spans="2:15" x14ac:dyDescent="0.2">
      <c r="B260" s="218" t="str">
        <f>"22473"</f>
        <v>22473</v>
      </c>
      <c r="C260" s="218" t="str">
        <f>"N°2018/032/MMG/DNM"</f>
        <v>N°2018/032/MMG/DNM</v>
      </c>
      <c r="D260" s="218" t="s">
        <v>3285</v>
      </c>
      <c r="E260" s="213" t="s">
        <v>85</v>
      </c>
      <c r="F260" s="213" t="s">
        <v>644</v>
      </c>
      <c r="G260" s="213" t="s">
        <v>3144</v>
      </c>
      <c r="H260" s="213" t="s">
        <v>3145</v>
      </c>
      <c r="I260" s="228">
        <v>43367</v>
      </c>
      <c r="J260" s="229">
        <v>43383.579212962963</v>
      </c>
      <c r="K260" s="228">
        <v>43392</v>
      </c>
      <c r="L260" s="228">
        <v>44257</v>
      </c>
      <c r="M260" s="228">
        <v>44257</v>
      </c>
      <c r="N260" s="213" t="s">
        <v>3286</v>
      </c>
      <c r="O260" s="213" t="str">
        <f>"Guinee,Kankan,Kerouane,Kérouané-centre, Komodou"</f>
        <v>Guinee,Kankan,Kerouane,Kérouané-centre, Komodou</v>
      </c>
    </row>
    <row r="261" spans="2:15" x14ac:dyDescent="0.2">
      <c r="B261" s="218" t="str">
        <f>"22474"</f>
        <v>22474</v>
      </c>
      <c r="C261" s="218" t="str">
        <f>"N°2018/034/MMG/DNM"</f>
        <v>N°2018/034/MMG/DNM</v>
      </c>
      <c r="D261" s="218" t="s">
        <v>3285</v>
      </c>
      <c r="E261" s="213" t="s">
        <v>85</v>
      </c>
      <c r="F261" s="213" t="s">
        <v>640</v>
      </c>
      <c r="G261" s="213" t="s">
        <v>3144</v>
      </c>
      <c r="H261" s="213" t="s">
        <v>3145</v>
      </c>
      <c r="I261" s="228">
        <v>43367</v>
      </c>
      <c r="J261" s="229">
        <v>43383.593356481484</v>
      </c>
      <c r="K261" s="228">
        <v>43392</v>
      </c>
      <c r="L261" s="228">
        <v>44257</v>
      </c>
      <c r="M261" s="228">
        <v>44257</v>
      </c>
      <c r="N261" s="213" t="s">
        <v>3287</v>
      </c>
      <c r="O261" s="213" t="str">
        <f>"Guinee,Kankan,Kerouane,Kérouané-centre"</f>
        <v>Guinee,Kankan,Kerouane,Kérouané-centre</v>
      </c>
    </row>
    <row r="262" spans="2:15" x14ac:dyDescent="0.2">
      <c r="B262" s="218" t="str">
        <f>"22475"</f>
        <v>22475</v>
      </c>
      <c r="C262" s="218" t="str">
        <f>"N°2018/033/MMG/DNM"</f>
        <v>N°2018/033/MMG/DNM</v>
      </c>
      <c r="D262" s="218" t="s">
        <v>3288</v>
      </c>
      <c r="E262" s="213" t="s">
        <v>85</v>
      </c>
      <c r="F262" s="213" t="s">
        <v>644</v>
      </c>
      <c r="G262" s="213" t="s">
        <v>3144</v>
      </c>
      <c r="H262" s="213" t="s">
        <v>3145</v>
      </c>
      <c r="I262" s="228">
        <v>43367</v>
      </c>
      <c r="J262" s="229">
        <v>43383.618935185186</v>
      </c>
      <c r="K262" s="228">
        <v>43392</v>
      </c>
      <c r="L262" s="228">
        <v>44257</v>
      </c>
      <c r="M262" s="228">
        <v>44257</v>
      </c>
      <c r="N262" s="213" t="s">
        <v>3289</v>
      </c>
      <c r="O262" s="213" t="str">
        <f>"Guinee,Kankan,Kerouane,Kérouané-centre, Konsankoro"</f>
        <v>Guinee,Kankan,Kerouane,Kérouané-centre, Konsankoro</v>
      </c>
    </row>
    <row r="263" spans="2:15" x14ac:dyDescent="0.2">
      <c r="B263" s="218" t="str">
        <f>"22500"</f>
        <v>22500</v>
      </c>
      <c r="C263" s="218" t="str">
        <f>""</f>
        <v/>
      </c>
      <c r="D263" s="218" t="s">
        <v>3290</v>
      </c>
      <c r="E263" s="213" t="s">
        <v>85</v>
      </c>
      <c r="F263" s="213" t="s">
        <v>1568</v>
      </c>
      <c r="G263" s="213" t="s">
        <v>3144</v>
      </c>
      <c r="H263" s="213" t="s">
        <v>3145</v>
      </c>
      <c r="I263" s="228">
        <v>43413</v>
      </c>
      <c r="J263" s="229">
        <v>43416.499594907407</v>
      </c>
      <c r="K263" s="213"/>
      <c r="L263" s="228">
        <v>44257</v>
      </c>
      <c r="M263" s="228">
        <v>44257</v>
      </c>
      <c r="N263" s="213" t="s">
        <v>3291</v>
      </c>
      <c r="O263" s="213" t="str">
        <f>"Guinee,Boke,Gaoual,Foulamory"</f>
        <v>Guinee,Boke,Gaoual,Foulamory</v>
      </c>
    </row>
    <row r="264" spans="2:15" x14ac:dyDescent="0.2">
      <c r="B264" s="218" t="str">
        <f>"22501"</f>
        <v>22501</v>
      </c>
      <c r="C264" s="218" t="str">
        <f>""</f>
        <v/>
      </c>
      <c r="D264" s="218" t="s">
        <v>3290</v>
      </c>
      <c r="E264" s="213" t="s">
        <v>85</v>
      </c>
      <c r="F264" s="213" t="s">
        <v>1568</v>
      </c>
      <c r="G264" s="213" t="s">
        <v>3144</v>
      </c>
      <c r="H264" s="213" t="s">
        <v>3145</v>
      </c>
      <c r="I264" s="228">
        <v>43413</v>
      </c>
      <c r="J264" s="229">
        <v>43416.517453703702</v>
      </c>
      <c r="K264" s="213"/>
      <c r="L264" s="228">
        <v>44257</v>
      </c>
      <c r="M264" s="228">
        <v>44257</v>
      </c>
      <c r="N264" s="213" t="s">
        <v>3292</v>
      </c>
      <c r="O264" s="213" t="str">
        <f>"Guinee,Boke,Gaoual,Kounsitel"</f>
        <v>Guinee,Boke,Gaoual,Kounsitel</v>
      </c>
    </row>
    <row r="265" spans="2:15" x14ac:dyDescent="0.2">
      <c r="B265" s="218" t="str">
        <f>"22505"</f>
        <v>22505</v>
      </c>
      <c r="C265" s="218" t="str">
        <f>"A2018/8043/MMG/SGG"</f>
        <v>A2018/8043/MMG/SGG</v>
      </c>
      <c r="D265" s="218" t="s">
        <v>3293</v>
      </c>
      <c r="E265" s="213" t="s">
        <v>154</v>
      </c>
      <c r="F265" s="213" t="s">
        <v>644</v>
      </c>
      <c r="G265" s="213" t="s">
        <v>3144</v>
      </c>
      <c r="H265" s="213" t="s">
        <v>3145</v>
      </c>
      <c r="I265" s="228">
        <v>43403</v>
      </c>
      <c r="J265" s="229">
        <v>43420.622986111113</v>
      </c>
      <c r="K265" s="228">
        <v>43433</v>
      </c>
      <c r="L265" s="228">
        <v>44258</v>
      </c>
      <c r="M265" s="228">
        <v>44258</v>
      </c>
      <c r="N265" s="213" t="s">
        <v>3294</v>
      </c>
      <c r="O265" s="213" t="str">
        <f>"Guinee,Kankan,Siguiri,Niagassola"</f>
        <v>Guinee,Kankan,Siguiri,Niagassola</v>
      </c>
    </row>
    <row r="266" spans="2:15" x14ac:dyDescent="0.2">
      <c r="B266" s="218" t="str">
        <f>"22522"</f>
        <v>22522</v>
      </c>
      <c r="C266" s="218" t="str">
        <f>"A2018/8208/MMG/SGG"</f>
        <v>A2018/8208/MMG/SGG</v>
      </c>
      <c r="D266" s="218" t="s">
        <v>3295</v>
      </c>
      <c r="E266" s="213" t="s">
        <v>1813</v>
      </c>
      <c r="F266" s="213" t="s">
        <v>1718</v>
      </c>
      <c r="G266" s="213" t="s">
        <v>3144</v>
      </c>
      <c r="H266" s="213" t="s">
        <v>3145</v>
      </c>
      <c r="I266" s="228">
        <v>43432</v>
      </c>
      <c r="J266" s="229">
        <v>43434.625011574077</v>
      </c>
      <c r="K266" s="228">
        <v>43448</v>
      </c>
      <c r="L266" s="228">
        <v>44404</v>
      </c>
      <c r="M266" s="228">
        <v>44404</v>
      </c>
      <c r="N266" s="213" t="s">
        <v>3296</v>
      </c>
      <c r="O266" s="213" t="str">
        <f>"Guinee,N'Zerekore,Lola,Kokota, Lainé; N'Zerekore,Soulouta"</f>
        <v>Guinee,N'Zerekore,Lola,Kokota, Lainé; N'Zerekore,Soulouta</v>
      </c>
    </row>
    <row r="267" spans="2:15" x14ac:dyDescent="0.2">
      <c r="B267" s="218" t="str">
        <f>"22523"</f>
        <v>22523</v>
      </c>
      <c r="C267" s="218" t="str">
        <f>"A2018/8209/MMG/SGG"</f>
        <v>A2018/8209/MMG/SGG</v>
      </c>
      <c r="D267" s="218" t="s">
        <v>3295</v>
      </c>
      <c r="E267" s="213" t="s">
        <v>1813</v>
      </c>
      <c r="F267" s="213" t="s">
        <v>1718</v>
      </c>
      <c r="G267" s="213" t="s">
        <v>3144</v>
      </c>
      <c r="H267" s="213" t="s">
        <v>3145</v>
      </c>
      <c r="I267" s="228">
        <v>43432</v>
      </c>
      <c r="J267" s="229">
        <v>43434.642407407409</v>
      </c>
      <c r="K267" s="228">
        <v>43448</v>
      </c>
      <c r="L267" s="228">
        <v>44404</v>
      </c>
      <c r="M267" s="228">
        <v>44404</v>
      </c>
      <c r="N267" s="213" t="s">
        <v>3297</v>
      </c>
      <c r="O267" s="213" t="str">
        <f>"Guinee,N'Zerekore,Lola,Bossou, Lola-centre; N'Zerekore,Yalenzou"</f>
        <v>Guinee,N'Zerekore,Lola,Bossou, Lola-centre; N'Zerekore,Yalenzou</v>
      </c>
    </row>
    <row r="268" spans="2:15" x14ac:dyDescent="0.2">
      <c r="B268" s="218" t="str">
        <f>"22524"</f>
        <v>22524</v>
      </c>
      <c r="C268" s="218" t="str">
        <f>"A2018/8210/MMG/SGG"</f>
        <v>A2018/8210/MMG/SGG</v>
      </c>
      <c r="D268" s="218" t="s">
        <v>3295</v>
      </c>
      <c r="E268" s="213" t="s">
        <v>1813</v>
      </c>
      <c r="F268" s="213" t="s">
        <v>2439</v>
      </c>
      <c r="G268" s="213" t="s">
        <v>3144</v>
      </c>
      <c r="H268" s="213" t="s">
        <v>3145</v>
      </c>
      <c r="I268" s="228">
        <v>43432</v>
      </c>
      <c r="J268" s="229">
        <v>43434.650879629633</v>
      </c>
      <c r="K268" s="228">
        <v>43448</v>
      </c>
      <c r="L268" s="228">
        <v>44404</v>
      </c>
      <c r="M268" s="228">
        <v>44404</v>
      </c>
      <c r="N268" s="213" t="s">
        <v>3298</v>
      </c>
      <c r="O268" s="213" t="str">
        <f>"Guinee,N'Zerekore,Lola,Gama-Béréma, N'Zoo, Tounkarata"</f>
        <v>Guinee,N'Zerekore,Lola,Gama-Béréma, N'Zoo, Tounkarata</v>
      </c>
    </row>
    <row r="269" spans="2:15" x14ac:dyDescent="0.2">
      <c r="B269" s="218" t="str">
        <f>"22525"</f>
        <v>22525</v>
      </c>
      <c r="C269" s="218" t="str">
        <f>"A2018/8211/MMG/SGG"</f>
        <v>A2018/8211/MMG/SGG</v>
      </c>
      <c r="D269" s="218" t="s">
        <v>3295</v>
      </c>
      <c r="E269" s="213" t="s">
        <v>1813</v>
      </c>
      <c r="F269" s="213" t="s">
        <v>2439</v>
      </c>
      <c r="G269" s="213" t="s">
        <v>3144</v>
      </c>
      <c r="H269" s="213" t="s">
        <v>3145</v>
      </c>
      <c r="I269" s="228">
        <v>43432</v>
      </c>
      <c r="J269" s="229">
        <v>43434.657349537039</v>
      </c>
      <c r="K269" s="228">
        <v>43448</v>
      </c>
      <c r="L269" s="228">
        <v>44404</v>
      </c>
      <c r="M269" s="228">
        <v>44404</v>
      </c>
      <c r="N269" s="213" t="s">
        <v>3299</v>
      </c>
      <c r="O269" s="213" t="str">
        <f>"Guinee,N'Zerekore,Lola,Tounkarata"</f>
        <v>Guinee,N'Zerekore,Lola,Tounkarata</v>
      </c>
    </row>
    <row r="270" spans="2:15" x14ac:dyDescent="0.2">
      <c r="B270" s="218" t="str">
        <f>"22540"</f>
        <v>22540</v>
      </c>
      <c r="C270" s="218" t="str">
        <f>"A2019/090/MMG"</f>
        <v>A2019/090/MMG</v>
      </c>
      <c r="D270" s="218" t="s">
        <v>3300</v>
      </c>
      <c r="E270" s="213" t="s">
        <v>154</v>
      </c>
      <c r="F270" s="213" t="s">
        <v>644</v>
      </c>
      <c r="G270" s="213" t="s">
        <v>3144</v>
      </c>
      <c r="H270" s="213" t="s">
        <v>3145</v>
      </c>
      <c r="I270" s="228">
        <v>43433</v>
      </c>
      <c r="J270" s="229">
        <v>43455.432858796295</v>
      </c>
      <c r="K270" s="228">
        <v>43496</v>
      </c>
      <c r="L270" s="228">
        <v>44351</v>
      </c>
      <c r="M270" s="228">
        <v>44351</v>
      </c>
      <c r="N270" s="213" t="s">
        <v>3301</v>
      </c>
      <c r="O270" s="213" t="str">
        <f>"Guinee,Kankan,Siguiri,Doko"</f>
        <v>Guinee,Kankan,Siguiri,Doko</v>
      </c>
    </row>
    <row r="271" spans="2:15" x14ac:dyDescent="0.2">
      <c r="B271" s="218" t="str">
        <f>"22562"</f>
        <v>22562</v>
      </c>
      <c r="C271" s="218" t="str">
        <f>"N°/2019/002/MMG/DNM"</f>
        <v>N°/2019/002/MMG/DNM</v>
      </c>
      <c r="D271" s="218" t="s">
        <v>3302</v>
      </c>
      <c r="E271" s="213" t="s">
        <v>85</v>
      </c>
      <c r="F271" s="213" t="s">
        <v>644</v>
      </c>
      <c r="G271" s="213" t="s">
        <v>3144</v>
      </c>
      <c r="H271" s="213" t="s">
        <v>3145</v>
      </c>
      <c r="I271" s="228">
        <v>43496</v>
      </c>
      <c r="J271" s="229">
        <v>43500.702256944445</v>
      </c>
      <c r="K271" s="228">
        <v>43530</v>
      </c>
      <c r="L271" s="228">
        <v>44355</v>
      </c>
      <c r="M271" s="228">
        <v>44355</v>
      </c>
      <c r="N271" s="213" t="s">
        <v>3303</v>
      </c>
      <c r="O271" s="213" t="str">
        <f>"Guinee,Kankan,Kankan,Missamana"</f>
        <v>Guinee,Kankan,Kankan,Missamana</v>
      </c>
    </row>
    <row r="272" spans="2:15" x14ac:dyDescent="0.2">
      <c r="B272" s="218" t="str">
        <f>"22563"</f>
        <v>22563</v>
      </c>
      <c r="C272" s="218" t="str">
        <f>""</f>
        <v/>
      </c>
      <c r="D272" s="218" t="s">
        <v>3302</v>
      </c>
      <c r="E272" s="213" t="s">
        <v>85</v>
      </c>
      <c r="F272" s="213" t="s">
        <v>644</v>
      </c>
      <c r="G272" s="213" t="s">
        <v>3144</v>
      </c>
      <c r="H272" s="213" t="s">
        <v>3145</v>
      </c>
      <c r="I272" s="228">
        <v>44150</v>
      </c>
      <c r="J272" s="229">
        <v>44139.714733796296</v>
      </c>
      <c r="K272" s="213"/>
      <c r="L272" s="228">
        <v>44312</v>
      </c>
      <c r="M272" s="228">
        <v>44312</v>
      </c>
      <c r="N272" s="213" t="s">
        <v>3304</v>
      </c>
      <c r="O272" s="213" t="str">
        <f>"Guinee,Kankan,Kouroussa,Babila, Koumana, Kouroussa-centre"</f>
        <v>Guinee,Kankan,Kouroussa,Babila, Koumana, Kouroussa-centre</v>
      </c>
    </row>
    <row r="273" spans="2:15" x14ac:dyDescent="0.2">
      <c r="B273" s="218" t="str">
        <f>"22585"</f>
        <v>22585</v>
      </c>
      <c r="C273" s="218" t="str">
        <f>""</f>
        <v/>
      </c>
      <c r="D273" s="218" t="s">
        <v>3305</v>
      </c>
      <c r="E273" s="213" t="s">
        <v>154</v>
      </c>
      <c r="F273" s="213" t="s">
        <v>644</v>
      </c>
      <c r="G273" s="213" t="s">
        <v>3144</v>
      </c>
      <c r="H273" s="213" t="s">
        <v>3234</v>
      </c>
      <c r="I273" s="228">
        <v>43511</v>
      </c>
      <c r="J273" s="229">
        <v>43538.572997685187</v>
      </c>
      <c r="K273" s="213"/>
      <c r="L273" s="228">
        <v>44428</v>
      </c>
      <c r="M273" s="228">
        <v>44428</v>
      </c>
      <c r="N273" s="213" t="s">
        <v>3306</v>
      </c>
      <c r="O273" s="213" t="str">
        <f>"Guinee,Kankan,Siguiri,Kintinian, Norassoba"</f>
        <v>Guinee,Kankan,Siguiri,Kintinian, Norassoba</v>
      </c>
    </row>
    <row r="274" spans="2:15" x14ac:dyDescent="0.2">
      <c r="B274" s="218" t="str">
        <f>"22622"</f>
        <v>22622</v>
      </c>
      <c r="C274" s="218" t="str">
        <f>""</f>
        <v/>
      </c>
      <c r="D274" s="218" t="s">
        <v>2731</v>
      </c>
      <c r="E274" s="213" t="s">
        <v>85</v>
      </c>
      <c r="F274" s="213" t="s">
        <v>2732</v>
      </c>
      <c r="G274" s="213" t="s">
        <v>3144</v>
      </c>
      <c r="H274" s="213" t="s">
        <v>3145</v>
      </c>
      <c r="I274" s="228">
        <v>43610</v>
      </c>
      <c r="J274" s="229">
        <v>43594.533703703702</v>
      </c>
      <c r="K274" s="213"/>
      <c r="L274" s="228">
        <v>44252</v>
      </c>
      <c r="M274" s="228">
        <v>44252</v>
      </c>
      <c r="N274" s="213" t="s">
        <v>3307</v>
      </c>
      <c r="O274" s="213" t="str">
        <f>"Guinee,Labe,Mali,Fougou, Hidayatou"</f>
        <v>Guinee,Labe,Mali,Fougou, Hidayatou</v>
      </c>
    </row>
    <row r="275" spans="2:15" x14ac:dyDescent="0.2">
      <c r="B275" s="218" t="str">
        <f>"22643"</f>
        <v>22643</v>
      </c>
      <c r="C275" s="218" t="str">
        <f>""</f>
        <v/>
      </c>
      <c r="D275" s="218" t="s">
        <v>1810</v>
      </c>
      <c r="E275" s="213" t="s">
        <v>85</v>
      </c>
      <c r="F275" s="213" t="s">
        <v>1568</v>
      </c>
      <c r="G275" s="213" t="s">
        <v>3144</v>
      </c>
      <c r="H275" s="213" t="s">
        <v>3145</v>
      </c>
      <c r="I275" s="228">
        <v>43607</v>
      </c>
      <c r="J275" s="229">
        <v>43619.585358796299</v>
      </c>
      <c r="K275" s="213"/>
      <c r="L275" s="228">
        <v>44252</v>
      </c>
      <c r="M275" s="228">
        <v>44252</v>
      </c>
      <c r="N275" s="213" t="s">
        <v>3308</v>
      </c>
      <c r="O275" s="213" t="str">
        <f>"Guinee,Kindia,Kindia,Madina-Oula; Mamou,Mamou,Soyah"</f>
        <v>Guinee,Kindia,Kindia,Madina-Oula; Mamou,Mamou,Soyah</v>
      </c>
    </row>
    <row r="276" spans="2:15" x14ac:dyDescent="0.2">
      <c r="B276" s="218" t="str">
        <f>"22666"</f>
        <v>22666</v>
      </c>
      <c r="C276" s="218" t="str">
        <f>"A2020/037/MMG/DNM"</f>
        <v>A2020/037/MMG/DNM</v>
      </c>
      <c r="D276" s="218" t="s">
        <v>3309</v>
      </c>
      <c r="E276" s="213" t="s">
        <v>85</v>
      </c>
      <c r="F276" s="213" t="s">
        <v>644</v>
      </c>
      <c r="G276" s="213" t="s">
        <v>3144</v>
      </c>
      <c r="H276" s="213" t="s">
        <v>3145</v>
      </c>
      <c r="I276" s="228">
        <v>43626</v>
      </c>
      <c r="J276" s="229">
        <v>43630.587847222225</v>
      </c>
      <c r="K276" s="228">
        <v>44062</v>
      </c>
      <c r="L276" s="228">
        <v>44257</v>
      </c>
      <c r="M276" s="228">
        <v>44257</v>
      </c>
      <c r="N276" s="213" t="s">
        <v>3310</v>
      </c>
      <c r="O276" s="213" t="str">
        <f>"Guinee,Kankan,Kankan,Baté-Nafadji; Mandiana,Koundian"</f>
        <v>Guinee,Kankan,Kankan,Baté-Nafadji; Mandiana,Koundian</v>
      </c>
    </row>
    <row r="277" spans="2:15" x14ac:dyDescent="0.2">
      <c r="B277" s="218" t="str">
        <f>"22668"</f>
        <v>22668</v>
      </c>
      <c r="C277" s="218" t="s">
        <v>3311</v>
      </c>
      <c r="D277" s="218" t="s">
        <v>3312</v>
      </c>
      <c r="E277" s="213" t="s">
        <v>2792</v>
      </c>
      <c r="F277" s="213" t="s">
        <v>644</v>
      </c>
      <c r="G277" s="213" t="s">
        <v>3144</v>
      </c>
      <c r="H277" s="213" t="s">
        <v>3145</v>
      </c>
      <c r="I277" s="228">
        <v>43609</v>
      </c>
      <c r="J277" s="229">
        <v>43630.659166666665</v>
      </c>
      <c r="K277" s="228">
        <v>43643</v>
      </c>
      <c r="L277" s="228">
        <v>44370</v>
      </c>
      <c r="M277" s="228">
        <v>44370</v>
      </c>
      <c r="N277" s="213" t="s">
        <v>3313</v>
      </c>
      <c r="O277" s="213" t="str">
        <f>"Guinee,Kankan,Siguiri,Doko"</f>
        <v>Guinee,Kankan,Siguiri,Doko</v>
      </c>
    </row>
    <row r="278" spans="2:15" x14ac:dyDescent="0.2">
      <c r="B278" s="218" t="str">
        <f>"22689"</f>
        <v>22689</v>
      </c>
      <c r="C278" s="218" t="s">
        <v>3314</v>
      </c>
      <c r="D278" s="218" t="s">
        <v>2259</v>
      </c>
      <c r="E278" s="213" t="s">
        <v>85</v>
      </c>
      <c r="F278" s="213" t="s">
        <v>644</v>
      </c>
      <c r="G278" s="213" t="s">
        <v>3144</v>
      </c>
      <c r="H278" s="213" t="s">
        <v>3145</v>
      </c>
      <c r="I278" s="228">
        <v>43648</v>
      </c>
      <c r="J278" s="229">
        <v>43663.714722222219</v>
      </c>
      <c r="K278" s="213"/>
      <c r="L278" s="228">
        <v>44252</v>
      </c>
      <c r="M278" s="228">
        <v>44252</v>
      </c>
      <c r="N278" s="213" t="s">
        <v>3315</v>
      </c>
      <c r="O278" s="213" t="str">
        <f>"Guinee,Kankan,Mandiana,Balandougouba, Dialokoro"</f>
        <v>Guinee,Kankan,Mandiana,Balandougouba, Dialokoro</v>
      </c>
    </row>
    <row r="279" spans="2:15" x14ac:dyDescent="0.2">
      <c r="B279" s="218" t="str">
        <f>"22701"</f>
        <v>22701</v>
      </c>
      <c r="C279" s="218" t="s">
        <v>3316</v>
      </c>
      <c r="D279" s="218" t="s">
        <v>3317</v>
      </c>
      <c r="E279" s="213" t="s">
        <v>85</v>
      </c>
      <c r="F279" s="213" t="s">
        <v>1568</v>
      </c>
      <c r="G279" s="213" t="s">
        <v>3144</v>
      </c>
      <c r="H279" s="213" t="s">
        <v>3145</v>
      </c>
      <c r="I279" s="228">
        <v>43697</v>
      </c>
      <c r="J279" s="229">
        <v>43699.712083333332</v>
      </c>
      <c r="K279" s="213"/>
      <c r="L279" s="228">
        <v>44252</v>
      </c>
      <c r="M279" s="228">
        <v>44252</v>
      </c>
      <c r="N279" s="213" t="s">
        <v>3318</v>
      </c>
      <c r="O279" s="213" t="str">
        <f>"Guinee,Boke,Gaoual,Kounsitel, Malanta, Touba (5); Labe,Lelouma,Linsan-saran, Manda"</f>
        <v>Guinee,Boke,Gaoual,Kounsitel, Malanta, Touba (5); Labe,Lelouma,Linsan-saran, Manda</v>
      </c>
    </row>
    <row r="280" spans="2:15" x14ac:dyDescent="0.2">
      <c r="B280" s="218" t="str">
        <f>"22702"</f>
        <v>22702</v>
      </c>
      <c r="C280" s="218" t="s">
        <v>3319</v>
      </c>
      <c r="D280" s="218" t="s">
        <v>2206</v>
      </c>
      <c r="E280" s="213" t="s">
        <v>85</v>
      </c>
      <c r="F280" s="213" t="s">
        <v>1568</v>
      </c>
      <c r="G280" s="213" t="s">
        <v>3144</v>
      </c>
      <c r="H280" s="213" t="s">
        <v>3145</v>
      </c>
      <c r="I280" s="228">
        <v>43690</v>
      </c>
      <c r="J280" s="229">
        <v>43704.474664351852</v>
      </c>
      <c r="K280" s="213"/>
      <c r="L280" s="228">
        <v>44252</v>
      </c>
      <c r="M280" s="228">
        <v>44252</v>
      </c>
      <c r="N280" s="213" t="s">
        <v>3320</v>
      </c>
      <c r="O280" s="213" t="str">
        <f>"Guinee,Kindia,Kindia,Kolenté, Madina-Oula, Souguéta"</f>
        <v>Guinee,Kindia,Kindia,Kolenté, Madina-Oula, Souguéta</v>
      </c>
    </row>
    <row r="281" spans="2:15" x14ac:dyDescent="0.2">
      <c r="B281" s="218" t="str">
        <f>"22705"</f>
        <v>22705</v>
      </c>
      <c r="C281" s="218" t="s">
        <v>3321</v>
      </c>
      <c r="D281" s="218" t="s">
        <v>3322</v>
      </c>
      <c r="E281" s="213" t="s">
        <v>85</v>
      </c>
      <c r="F281" s="213" t="s">
        <v>1613</v>
      </c>
      <c r="G281" s="213" t="s">
        <v>3144</v>
      </c>
      <c r="H281" s="213" t="s">
        <v>3145</v>
      </c>
      <c r="I281" s="228">
        <v>43674</v>
      </c>
      <c r="J281" s="229">
        <v>43712.536550925928</v>
      </c>
      <c r="K281" s="213"/>
      <c r="L281" s="228">
        <v>44252</v>
      </c>
      <c r="M281" s="228">
        <v>44252</v>
      </c>
      <c r="N281" s="213" t="s">
        <v>3323</v>
      </c>
      <c r="O281" s="213" t="str">
        <f>"Guinee,N'Zerekore,Macenta,Kouankan, Sengbédou"</f>
        <v>Guinee,N'Zerekore,Macenta,Kouankan, Sengbédou</v>
      </c>
    </row>
    <row r="282" spans="2:15" x14ac:dyDescent="0.2">
      <c r="B282" s="218" t="str">
        <f>"22720"</f>
        <v>22720</v>
      </c>
      <c r="C282" s="218" t="str">
        <f>""</f>
        <v/>
      </c>
      <c r="D282" s="218"/>
      <c r="E282" s="213" t="s">
        <v>2735</v>
      </c>
      <c r="F282" s="213" t="s">
        <v>1594</v>
      </c>
      <c r="G282" s="213" t="s">
        <v>3144</v>
      </c>
      <c r="H282" s="213" t="s">
        <v>3145</v>
      </c>
      <c r="I282" s="228">
        <v>43712</v>
      </c>
      <c r="J282" s="229">
        <v>43735.595405092594</v>
      </c>
      <c r="K282" s="228">
        <v>43830</v>
      </c>
      <c r="L282" s="228">
        <v>44434</v>
      </c>
      <c r="M282" s="228">
        <v>44434</v>
      </c>
      <c r="N282" s="213" t="s">
        <v>3324</v>
      </c>
      <c r="O282" s="213" t="str">
        <f>"Guinee,Kankan,Kouroussa,Douako"</f>
        <v>Guinee,Kankan,Kouroussa,Douako</v>
      </c>
    </row>
    <row r="283" spans="2:15" x14ac:dyDescent="0.2">
      <c r="B283" s="218" t="str">
        <f>"22742"</f>
        <v>22742</v>
      </c>
      <c r="C283" s="218" t="str">
        <f>"A2019/6158/MMG/SGG"</f>
        <v>A2019/6158/MMG/SGG</v>
      </c>
      <c r="D283" s="218" t="s">
        <v>1976</v>
      </c>
      <c r="E283" s="213" t="s">
        <v>1794</v>
      </c>
      <c r="F283" s="213" t="s">
        <v>1594</v>
      </c>
      <c r="G283" s="213" t="s">
        <v>3144</v>
      </c>
      <c r="H283" s="213" t="s">
        <v>3145</v>
      </c>
      <c r="I283" s="228">
        <v>43741</v>
      </c>
      <c r="J283" s="229">
        <v>43754.643240740741</v>
      </c>
      <c r="K283" s="228">
        <v>43775</v>
      </c>
      <c r="L283" s="228">
        <v>44438</v>
      </c>
      <c r="M283" s="228">
        <v>44438</v>
      </c>
      <c r="N283" s="213" t="s">
        <v>3325</v>
      </c>
      <c r="O283" s="213" t="str">
        <f>"Guinee,Faranah,Faranah,Heremakono, Sandenia"</f>
        <v>Guinee,Faranah,Faranah,Heremakono, Sandenia</v>
      </c>
    </row>
    <row r="284" spans="2:15" x14ac:dyDescent="0.2">
      <c r="B284" s="218" t="str">
        <f>"22745"</f>
        <v>22745</v>
      </c>
      <c r="C284" s="218" t="str">
        <f>"A2019/6955/MMG/SGG"</f>
        <v>A2019/6955/MMG/SGG</v>
      </c>
      <c r="D284" s="218" t="s">
        <v>145</v>
      </c>
      <c r="E284" s="213" t="s">
        <v>154</v>
      </c>
      <c r="F284" s="213" t="s">
        <v>644</v>
      </c>
      <c r="G284" s="213" t="s">
        <v>3144</v>
      </c>
      <c r="H284" s="213" t="s">
        <v>3145</v>
      </c>
      <c r="I284" s="228">
        <v>43749</v>
      </c>
      <c r="J284" s="229">
        <v>43760.484270833331</v>
      </c>
      <c r="K284" s="228">
        <v>43830</v>
      </c>
      <c r="L284" s="228">
        <v>44519</v>
      </c>
      <c r="M284" s="228">
        <v>44519</v>
      </c>
      <c r="N284" s="213" t="s">
        <v>3326</v>
      </c>
      <c r="O284" s="213" t="str">
        <f>"Guinee,Kankan,Kouroussa,Kouroussa-centre"</f>
        <v>Guinee,Kankan,Kouroussa,Kouroussa-centre</v>
      </c>
    </row>
    <row r="285" spans="2:15" x14ac:dyDescent="0.2">
      <c r="B285" s="218" t="str">
        <f>"22746"</f>
        <v>22746</v>
      </c>
      <c r="C285" s="218" t="str">
        <f>"A2019/6956/MMG/SGG"</f>
        <v>A2019/6956/MMG/SGG</v>
      </c>
      <c r="D285" s="218" t="s">
        <v>145</v>
      </c>
      <c r="E285" s="213" t="s">
        <v>154</v>
      </c>
      <c r="F285" s="213" t="s">
        <v>644</v>
      </c>
      <c r="G285" s="213" t="s">
        <v>3144</v>
      </c>
      <c r="H285" s="213" t="s">
        <v>3145</v>
      </c>
      <c r="I285" s="228">
        <v>43749</v>
      </c>
      <c r="J285" s="229">
        <v>43760.508333333331</v>
      </c>
      <c r="K285" s="228">
        <v>43830</v>
      </c>
      <c r="L285" s="228">
        <v>44519</v>
      </c>
      <c r="M285" s="228">
        <v>44519</v>
      </c>
      <c r="N285" s="213" t="s">
        <v>3327</v>
      </c>
      <c r="O285" s="213" t="str">
        <f>"Kouroussa"</f>
        <v>Kouroussa</v>
      </c>
    </row>
    <row r="286" spans="2:15" x14ac:dyDescent="0.2">
      <c r="B286" s="218" t="str">
        <f>"22747"</f>
        <v>22747</v>
      </c>
      <c r="C286" s="218" t="s">
        <v>3328</v>
      </c>
      <c r="D286" s="218" t="s">
        <v>2119</v>
      </c>
      <c r="E286" s="213" t="s">
        <v>85</v>
      </c>
      <c r="F286" s="213" t="s">
        <v>644</v>
      </c>
      <c r="G286" s="213" t="s">
        <v>3144</v>
      </c>
      <c r="H286" s="213" t="s">
        <v>3145</v>
      </c>
      <c r="I286" s="228">
        <v>43755</v>
      </c>
      <c r="J286" s="229">
        <v>43763.485312500001</v>
      </c>
      <c r="K286" s="213"/>
      <c r="L286" s="228">
        <v>44252</v>
      </c>
      <c r="M286" s="228">
        <v>44252</v>
      </c>
      <c r="N286" s="213" t="s">
        <v>3329</v>
      </c>
      <c r="O286" s="213" t="str">
        <f>"Kankan, Mandiana"</f>
        <v>Kankan, Mandiana</v>
      </c>
    </row>
    <row r="287" spans="2:15" x14ac:dyDescent="0.2">
      <c r="B287" s="218" t="str">
        <f>"22774"</f>
        <v>22774</v>
      </c>
      <c r="C287" s="218"/>
      <c r="D287" s="218" t="s">
        <v>1976</v>
      </c>
      <c r="E287" s="213" t="s">
        <v>85</v>
      </c>
      <c r="F287" s="213" t="s">
        <v>1568</v>
      </c>
      <c r="G287" s="213" t="s">
        <v>3144</v>
      </c>
      <c r="H287" s="213" t="s">
        <v>3145</v>
      </c>
      <c r="I287" s="228">
        <v>43784</v>
      </c>
      <c r="J287" s="229">
        <v>43796.486284722225</v>
      </c>
      <c r="K287" s="228">
        <v>43811</v>
      </c>
      <c r="L287" s="228">
        <v>44503</v>
      </c>
      <c r="M287" s="228">
        <v>44503</v>
      </c>
      <c r="N287" s="213" t="s">
        <v>3330</v>
      </c>
      <c r="O287" s="213" t="str">
        <f>"Pita"</f>
        <v>Pita</v>
      </c>
    </row>
    <row r="288" spans="2:15" x14ac:dyDescent="0.2">
      <c r="B288" s="218" t="str">
        <f>"22779"</f>
        <v>22779</v>
      </c>
      <c r="C288" s="218" t="s">
        <v>3331</v>
      </c>
      <c r="D288" s="218" t="s">
        <v>3332</v>
      </c>
      <c r="E288" s="213" t="s">
        <v>85</v>
      </c>
      <c r="F288" s="213" t="s">
        <v>1568</v>
      </c>
      <c r="G288" s="213" t="s">
        <v>3144</v>
      </c>
      <c r="H288" s="213" t="s">
        <v>3145</v>
      </c>
      <c r="I288" s="228">
        <v>43759</v>
      </c>
      <c r="J288" s="229">
        <v>43802.524027777778</v>
      </c>
      <c r="K288" s="213"/>
      <c r="L288" s="228">
        <v>44252</v>
      </c>
      <c r="M288" s="228">
        <v>44252</v>
      </c>
      <c r="N288" s="213" t="s">
        <v>3333</v>
      </c>
      <c r="O288" s="213" t="str">
        <f>"Boffa"</f>
        <v>Boffa</v>
      </c>
    </row>
    <row r="289" spans="2:15" x14ac:dyDescent="0.2">
      <c r="B289" s="218" t="str">
        <f>"22784"</f>
        <v>22784</v>
      </c>
      <c r="C289" s="218" t="s">
        <v>3334</v>
      </c>
      <c r="D289" s="218" t="s">
        <v>434</v>
      </c>
      <c r="E289" s="213" t="s">
        <v>85</v>
      </c>
      <c r="F289" s="213" t="s">
        <v>644</v>
      </c>
      <c r="G289" s="213" t="s">
        <v>3144</v>
      </c>
      <c r="H289" s="213" t="s">
        <v>3145</v>
      </c>
      <c r="I289" s="228">
        <v>43797</v>
      </c>
      <c r="J289" s="229">
        <v>43808.483032407406</v>
      </c>
      <c r="K289" s="213"/>
      <c r="L289" s="228">
        <v>44252</v>
      </c>
      <c r="M289" s="228">
        <v>44252</v>
      </c>
      <c r="N289" s="213" t="s">
        <v>3335</v>
      </c>
      <c r="O289" s="213" t="str">
        <f>"Siguiri"</f>
        <v>Siguiri</v>
      </c>
    </row>
    <row r="290" spans="2:15" x14ac:dyDescent="0.2">
      <c r="B290" s="218" t="str">
        <f>"22785"</f>
        <v>22785</v>
      </c>
      <c r="C290" s="218" t="s">
        <v>3336</v>
      </c>
      <c r="D290" s="218" t="s">
        <v>434</v>
      </c>
      <c r="E290" s="213" t="s">
        <v>85</v>
      </c>
      <c r="F290" s="213" t="s">
        <v>1568</v>
      </c>
      <c r="G290" s="213" t="s">
        <v>3144</v>
      </c>
      <c r="H290" s="213" t="s">
        <v>3145</v>
      </c>
      <c r="I290" s="228">
        <v>43797</v>
      </c>
      <c r="J290" s="229">
        <v>43808.542071759257</v>
      </c>
      <c r="K290" s="213"/>
      <c r="L290" s="228">
        <v>44252</v>
      </c>
      <c r="M290" s="228">
        <v>44252</v>
      </c>
      <c r="N290" s="213" t="s">
        <v>3337</v>
      </c>
      <c r="O290" s="213" t="str">
        <f>"Labé, Lelouma"</f>
        <v>Labé, Lelouma</v>
      </c>
    </row>
    <row r="291" spans="2:15" x14ac:dyDescent="0.2">
      <c r="B291" s="218" t="str">
        <f>"22797"</f>
        <v>22797</v>
      </c>
      <c r="C291" s="218" t="str">
        <f>""</f>
        <v/>
      </c>
      <c r="D291" s="218" t="s">
        <v>3219</v>
      </c>
      <c r="E291" s="213" t="s">
        <v>2735</v>
      </c>
      <c r="F291" s="213"/>
      <c r="G291" s="213" t="s">
        <v>3144</v>
      </c>
      <c r="H291" s="213" t="s">
        <v>3145</v>
      </c>
      <c r="I291" s="228">
        <v>43784</v>
      </c>
      <c r="J291" s="229">
        <v>43817.527280092596</v>
      </c>
      <c r="K291" s="228">
        <v>43784</v>
      </c>
      <c r="L291" s="228">
        <v>44417</v>
      </c>
      <c r="M291" s="228">
        <v>44417</v>
      </c>
      <c r="N291" s="213" t="s">
        <v>3338</v>
      </c>
      <c r="O291" s="213" t="str">
        <f>"Lola"</f>
        <v>Lola</v>
      </c>
    </row>
    <row r="292" spans="2:15" x14ac:dyDescent="0.2">
      <c r="B292" s="218" t="str">
        <f>"22801"</f>
        <v>22801</v>
      </c>
      <c r="C292" s="218" t="s">
        <v>3339</v>
      </c>
      <c r="D292" s="218" t="s">
        <v>2162</v>
      </c>
      <c r="E292" s="213" t="s">
        <v>85</v>
      </c>
      <c r="F292" s="213" t="s">
        <v>1568</v>
      </c>
      <c r="G292" s="213" t="s">
        <v>3144</v>
      </c>
      <c r="H292" s="213" t="s">
        <v>3145</v>
      </c>
      <c r="I292" s="228">
        <v>43818</v>
      </c>
      <c r="J292" s="229">
        <v>43823.621423611112</v>
      </c>
      <c r="K292" s="213"/>
      <c r="L292" s="228">
        <v>44252</v>
      </c>
      <c r="M292" s="228">
        <v>44252</v>
      </c>
      <c r="N292" s="213" t="s">
        <v>3340</v>
      </c>
      <c r="O292" s="213" t="str">
        <f>"Dubreka, Kindia"</f>
        <v>Dubreka, Kindia</v>
      </c>
    </row>
    <row r="293" spans="2:15" x14ac:dyDescent="0.2">
      <c r="B293" s="218" t="str">
        <f>"22805"</f>
        <v>22805</v>
      </c>
      <c r="C293" s="218" t="str">
        <f>""</f>
        <v/>
      </c>
      <c r="D293" s="218" t="s">
        <v>3219</v>
      </c>
      <c r="E293" s="213" t="s">
        <v>2735</v>
      </c>
      <c r="F293" s="213" t="s">
        <v>644</v>
      </c>
      <c r="G293" s="213" t="s">
        <v>3144</v>
      </c>
      <c r="H293" s="213" t="s">
        <v>3145</v>
      </c>
      <c r="I293" s="228">
        <v>43825</v>
      </c>
      <c r="J293" s="229">
        <v>43825.57</v>
      </c>
      <c r="K293" s="213"/>
      <c r="L293" s="228">
        <v>44449</v>
      </c>
      <c r="M293" s="228">
        <v>44449</v>
      </c>
      <c r="N293" s="213" t="s">
        <v>3341</v>
      </c>
      <c r="O293" s="213" t="str">
        <f>"Mandiana"</f>
        <v>Mandiana</v>
      </c>
    </row>
    <row r="294" spans="2:15" x14ac:dyDescent="0.2">
      <c r="B294" s="218" t="str">
        <f>"22810"</f>
        <v>22810</v>
      </c>
      <c r="C294" s="218" t="str">
        <f>"A2020/022/MMG"</f>
        <v>A2020/022/MMG</v>
      </c>
      <c r="D294" s="218" t="s">
        <v>1600</v>
      </c>
      <c r="E294" s="213" t="s">
        <v>154</v>
      </c>
      <c r="F294" s="213" t="s">
        <v>644</v>
      </c>
      <c r="G294" s="213" t="s">
        <v>3144</v>
      </c>
      <c r="H294" s="213" t="s">
        <v>3145</v>
      </c>
      <c r="I294" s="228">
        <v>43829</v>
      </c>
      <c r="J294" s="229">
        <v>43830.551527777781</v>
      </c>
      <c r="K294" s="228">
        <v>43844</v>
      </c>
      <c r="L294" s="228">
        <v>44519</v>
      </c>
      <c r="M294" s="228">
        <v>44519</v>
      </c>
      <c r="N294" s="213" t="s">
        <v>3342</v>
      </c>
      <c r="O294" s="213" t="str">
        <f>"Kouroussa"</f>
        <v>Kouroussa</v>
      </c>
    </row>
    <row r="295" spans="2:15" x14ac:dyDescent="0.2">
      <c r="B295" s="218" t="str">
        <f>"22811"</f>
        <v>22811</v>
      </c>
      <c r="C295" s="218" t="str">
        <f>"A2020/023/MMG"</f>
        <v>A2020/023/MMG</v>
      </c>
      <c r="D295" s="218" t="s">
        <v>1600</v>
      </c>
      <c r="E295" s="213" t="s">
        <v>154</v>
      </c>
      <c r="F295" s="213" t="s">
        <v>644</v>
      </c>
      <c r="G295" s="213" t="s">
        <v>3144</v>
      </c>
      <c r="H295" s="213" t="s">
        <v>3145</v>
      </c>
      <c r="I295" s="228">
        <v>43829</v>
      </c>
      <c r="J295" s="229">
        <v>43830.570162037038</v>
      </c>
      <c r="K295" s="228">
        <v>43844</v>
      </c>
      <c r="L295" s="228">
        <v>44525</v>
      </c>
      <c r="M295" s="228">
        <v>44525</v>
      </c>
      <c r="N295" s="213" t="s">
        <v>3343</v>
      </c>
      <c r="O295" s="213" t="str">
        <f>"Kouroussa"</f>
        <v>Kouroussa</v>
      </c>
    </row>
    <row r="296" spans="2:15" x14ac:dyDescent="0.2">
      <c r="B296" s="218" t="str">
        <f>"22812"</f>
        <v>22812</v>
      </c>
      <c r="C296" s="218" t="str">
        <f>"A/2020/021/MMG"</f>
        <v>A/2020/021/MMG</v>
      </c>
      <c r="D296" s="218" t="s">
        <v>1600</v>
      </c>
      <c r="E296" s="213" t="s">
        <v>154</v>
      </c>
      <c r="F296" s="213" t="s">
        <v>644</v>
      </c>
      <c r="G296" s="213" t="s">
        <v>3144</v>
      </c>
      <c r="H296" s="213" t="s">
        <v>3145</v>
      </c>
      <c r="I296" s="228">
        <v>43829</v>
      </c>
      <c r="J296" s="229">
        <v>43830.580671296295</v>
      </c>
      <c r="K296" s="228">
        <v>43844</v>
      </c>
      <c r="L296" s="228">
        <v>44519</v>
      </c>
      <c r="M296" s="228">
        <v>44519</v>
      </c>
      <c r="N296" s="213" t="s">
        <v>3344</v>
      </c>
      <c r="O296" s="213" t="str">
        <f>"Kouroussa"</f>
        <v>Kouroussa</v>
      </c>
    </row>
    <row r="297" spans="2:15" x14ac:dyDescent="0.2">
      <c r="B297" s="218" t="str">
        <f>"22813"</f>
        <v>22813</v>
      </c>
      <c r="C297" s="218" t="str">
        <f>"A2020/024/MMG/SGG"</f>
        <v>A2020/024/MMG/SGG</v>
      </c>
      <c r="D297" s="218" t="s">
        <v>1600</v>
      </c>
      <c r="E297" s="213" t="s">
        <v>154</v>
      </c>
      <c r="F297" s="213" t="s">
        <v>644</v>
      </c>
      <c r="G297" s="213" t="s">
        <v>3144</v>
      </c>
      <c r="H297" s="213" t="s">
        <v>3145</v>
      </c>
      <c r="I297" s="228">
        <v>43829</v>
      </c>
      <c r="J297" s="229">
        <v>43830.590601851851</v>
      </c>
      <c r="K297" s="228">
        <v>43844</v>
      </c>
      <c r="L297" s="228">
        <v>44519</v>
      </c>
      <c r="M297" s="228">
        <v>44519</v>
      </c>
      <c r="N297" s="213" t="s">
        <v>3345</v>
      </c>
      <c r="O297" s="213" t="str">
        <f>"Kouroussa"</f>
        <v>Kouroussa</v>
      </c>
    </row>
    <row r="298" spans="2:15" x14ac:dyDescent="0.2">
      <c r="B298" s="218" t="str">
        <f>"22815"</f>
        <v>22815</v>
      </c>
      <c r="C298" s="215" t="s">
        <v>3346</v>
      </c>
      <c r="D298" s="215" t="s">
        <v>2109</v>
      </c>
      <c r="E298" s="213" t="s">
        <v>85</v>
      </c>
      <c r="F298" s="213" t="s">
        <v>1568</v>
      </c>
      <c r="G298" s="213" t="s">
        <v>3144</v>
      </c>
      <c r="H298" s="213" t="s">
        <v>3145</v>
      </c>
      <c r="I298" s="228">
        <v>43822</v>
      </c>
      <c r="J298" s="229">
        <v>43839.410243055558</v>
      </c>
      <c r="K298" s="213"/>
      <c r="L298" s="228">
        <v>44252</v>
      </c>
      <c r="M298" s="228">
        <v>44252</v>
      </c>
      <c r="N298" s="213" t="s">
        <v>3347</v>
      </c>
      <c r="O298" s="213" t="str">
        <f>"Tougue,Dalaba,Mamou"</f>
        <v>Tougue,Dalaba,Mamou</v>
      </c>
    </row>
    <row r="299" spans="2:15" x14ac:dyDescent="0.2">
      <c r="B299" s="218" t="str">
        <f>"22841"</f>
        <v>22841</v>
      </c>
      <c r="C299" s="218" t="str">
        <f>""</f>
        <v/>
      </c>
      <c r="D299" s="218" t="s">
        <v>3348</v>
      </c>
      <c r="E299" s="213" t="s">
        <v>254</v>
      </c>
      <c r="F299" s="213" t="s">
        <v>1568</v>
      </c>
      <c r="G299" s="213" t="s">
        <v>3144</v>
      </c>
      <c r="H299" s="213" t="s">
        <v>3349</v>
      </c>
      <c r="I299" s="228">
        <v>43891</v>
      </c>
      <c r="J299" s="229">
        <v>43893.624872685185</v>
      </c>
      <c r="K299" s="213"/>
      <c r="L299" s="228">
        <v>44473</v>
      </c>
      <c r="M299" s="228">
        <v>44473</v>
      </c>
      <c r="N299" s="213" t="s">
        <v>3350</v>
      </c>
      <c r="O299" s="213" t="str">
        <f>"Telimele"</f>
        <v>Telimele</v>
      </c>
    </row>
    <row r="300" spans="2:15" x14ac:dyDescent="0.2">
      <c r="B300" s="218" t="str">
        <f>"22842"</f>
        <v>22842</v>
      </c>
      <c r="C300" s="218" t="str">
        <f>"A/2020/1043/MMG/SGG"</f>
        <v>A/2020/1043/MMG/SGG</v>
      </c>
      <c r="D300" s="218" t="s">
        <v>2266</v>
      </c>
      <c r="E300" s="213" t="s">
        <v>1794</v>
      </c>
      <c r="F300" s="213" t="s">
        <v>1594</v>
      </c>
      <c r="G300" s="213" t="s">
        <v>3144</v>
      </c>
      <c r="H300" s="213" t="s">
        <v>3145</v>
      </c>
      <c r="I300" s="228">
        <v>43887</v>
      </c>
      <c r="J300" s="229">
        <v>43894.629027777781</v>
      </c>
      <c r="K300" s="228">
        <v>43927</v>
      </c>
      <c r="L300" s="228">
        <v>44328</v>
      </c>
      <c r="M300" s="228">
        <v>44328</v>
      </c>
      <c r="N300" s="213" t="s">
        <v>3351</v>
      </c>
      <c r="O300" s="213" t="str">
        <f>"Coyah, Forecariah, Kindia"</f>
        <v>Coyah, Forecariah, Kindia</v>
      </c>
    </row>
    <row r="301" spans="2:15" x14ac:dyDescent="0.2">
      <c r="B301" s="218" t="str">
        <f>"22843"</f>
        <v>22843</v>
      </c>
      <c r="C301" s="218" t="str">
        <f>"A/2020/1042/MMG/SGG"</f>
        <v>A/2020/1042/MMG/SGG</v>
      </c>
      <c r="D301" s="218" t="s">
        <v>2266</v>
      </c>
      <c r="E301" s="213" t="s">
        <v>1794</v>
      </c>
      <c r="F301" s="213" t="s">
        <v>1594</v>
      </c>
      <c r="G301" s="213" t="s">
        <v>3144</v>
      </c>
      <c r="H301" s="213" t="s">
        <v>3145</v>
      </c>
      <c r="I301" s="228">
        <v>43887</v>
      </c>
      <c r="J301" s="229">
        <v>43894.648414351854</v>
      </c>
      <c r="K301" s="228">
        <v>43927</v>
      </c>
      <c r="L301" s="228">
        <v>44328</v>
      </c>
      <c r="M301" s="228">
        <v>44328</v>
      </c>
      <c r="N301" s="213" t="s">
        <v>3352</v>
      </c>
      <c r="O301" s="213" t="str">
        <f>"Forecariah"</f>
        <v>Forecariah</v>
      </c>
    </row>
    <row r="302" spans="2:15" x14ac:dyDescent="0.2">
      <c r="B302" s="218" t="str">
        <f>"22847"</f>
        <v>22847</v>
      </c>
      <c r="C302" s="218" t="str">
        <f>"A2020/1224/MMG/SGG"</f>
        <v>A2020/1224/MMG/SGG</v>
      </c>
      <c r="D302" s="218" t="s">
        <v>1976</v>
      </c>
      <c r="E302" s="213" t="s">
        <v>1869</v>
      </c>
      <c r="F302" s="213" t="s">
        <v>3353</v>
      </c>
      <c r="G302" s="213" t="s">
        <v>3144</v>
      </c>
      <c r="H302" s="213" t="s">
        <v>3145</v>
      </c>
      <c r="I302" s="228">
        <v>43894</v>
      </c>
      <c r="J302" s="229">
        <v>43909.603206018517</v>
      </c>
      <c r="K302" s="228">
        <v>43943</v>
      </c>
      <c r="L302" s="228">
        <v>44438</v>
      </c>
      <c r="M302" s="228">
        <v>44438</v>
      </c>
      <c r="N302" s="213" t="s">
        <v>3354</v>
      </c>
      <c r="O302" s="213" t="str">
        <f>"Kindia"</f>
        <v>Kindia</v>
      </c>
    </row>
    <row r="303" spans="2:15" x14ac:dyDescent="0.2">
      <c r="B303" s="218" t="str">
        <f>"22991"</f>
        <v>22991</v>
      </c>
      <c r="C303" s="218" t="str">
        <f>""</f>
        <v/>
      </c>
      <c r="D303" s="218" t="s">
        <v>3355</v>
      </c>
      <c r="E303" s="213" t="s">
        <v>85</v>
      </c>
      <c r="F303" s="213" t="s">
        <v>644</v>
      </c>
      <c r="G303" s="213" t="s">
        <v>3144</v>
      </c>
      <c r="H303" s="213" t="s">
        <v>3145</v>
      </c>
      <c r="I303" s="228">
        <v>44096</v>
      </c>
      <c r="J303" s="229">
        <v>44099.493738425925</v>
      </c>
      <c r="K303" s="213"/>
      <c r="L303" s="228">
        <v>44516</v>
      </c>
      <c r="M303" s="228">
        <v>44516</v>
      </c>
      <c r="N303" s="213" t="s">
        <v>3356</v>
      </c>
      <c r="O303" s="213" t="str">
        <f>"Mandiana"</f>
        <v>Mandiana</v>
      </c>
    </row>
    <row r="304" spans="2:15" x14ac:dyDescent="0.2">
      <c r="B304" s="218" t="str">
        <f>"22993"</f>
        <v>22993</v>
      </c>
      <c r="C304" s="218" t="str">
        <f>""</f>
        <v/>
      </c>
      <c r="D304" s="218" t="s">
        <v>1976</v>
      </c>
      <c r="E304" s="213" t="s">
        <v>85</v>
      </c>
      <c r="F304" s="213" t="s">
        <v>1594</v>
      </c>
      <c r="G304" s="213" t="s">
        <v>3144</v>
      </c>
      <c r="H304" s="213" t="s">
        <v>3145</v>
      </c>
      <c r="I304" s="228">
        <v>44095</v>
      </c>
      <c r="J304" s="229">
        <v>44105.664224537039</v>
      </c>
      <c r="K304" s="213"/>
      <c r="L304" s="228">
        <v>44498</v>
      </c>
      <c r="M304" s="228">
        <v>44498</v>
      </c>
      <c r="N304" s="213" t="s">
        <v>3357</v>
      </c>
      <c r="O304" s="213" t="str">
        <f>"Kerouane"</f>
        <v>Kerouane</v>
      </c>
    </row>
    <row r="305" spans="2:15" x14ac:dyDescent="0.2">
      <c r="B305" s="218" t="str">
        <f>"22995"</f>
        <v>22995</v>
      </c>
      <c r="C305" s="218" t="str">
        <f>""</f>
        <v/>
      </c>
      <c r="D305" s="218" t="s">
        <v>1976</v>
      </c>
      <c r="E305" s="213" t="s">
        <v>85</v>
      </c>
      <c r="F305" s="213" t="s">
        <v>1594</v>
      </c>
      <c r="G305" s="213" t="s">
        <v>3144</v>
      </c>
      <c r="H305" s="213" t="s">
        <v>3145</v>
      </c>
      <c r="I305" s="228">
        <v>44095</v>
      </c>
      <c r="J305" s="229">
        <v>44105.688831018517</v>
      </c>
      <c r="K305" s="213"/>
      <c r="L305" s="228">
        <v>44264</v>
      </c>
      <c r="M305" s="228">
        <v>44264</v>
      </c>
      <c r="N305" s="213" t="s">
        <v>3358</v>
      </c>
      <c r="O305" s="213" t="str">
        <f>"Forecariah"</f>
        <v>Forecariah</v>
      </c>
    </row>
    <row r="306" spans="2:15" x14ac:dyDescent="0.2">
      <c r="B306" s="218" t="str">
        <f>"23022"</f>
        <v>23022</v>
      </c>
      <c r="C306" s="215" t="str">
        <f>"A2020/3303/MMG/SGG"</f>
        <v>A2020/3303/MMG/SGG</v>
      </c>
      <c r="D306" s="215" t="s">
        <v>1980</v>
      </c>
      <c r="E306" s="213" t="s">
        <v>1794</v>
      </c>
      <c r="F306" s="213" t="s">
        <v>1594</v>
      </c>
      <c r="G306" s="213" t="s">
        <v>3144</v>
      </c>
      <c r="H306" s="213" t="s">
        <v>3145</v>
      </c>
      <c r="I306" s="228">
        <v>44168</v>
      </c>
      <c r="J306" s="229">
        <v>44168.68478009259</v>
      </c>
      <c r="K306" s="228">
        <v>44181</v>
      </c>
      <c r="L306" s="228">
        <v>44438</v>
      </c>
      <c r="M306" s="228">
        <v>44438</v>
      </c>
      <c r="N306" s="213" t="s">
        <v>3359</v>
      </c>
      <c r="O306" s="213" t="str">
        <f>"Kerouane"</f>
        <v>Kerouane</v>
      </c>
    </row>
    <row r="307" spans="2:15" x14ac:dyDescent="0.2">
      <c r="B307" s="218" t="str">
        <f>"23025"</f>
        <v>23025</v>
      </c>
      <c r="C307" s="218" t="s">
        <v>3360</v>
      </c>
      <c r="D307" s="218" t="s">
        <v>3361</v>
      </c>
      <c r="E307" s="213" t="s">
        <v>154</v>
      </c>
      <c r="F307" s="213" t="s">
        <v>644</v>
      </c>
      <c r="G307" s="213" t="s">
        <v>3144</v>
      </c>
      <c r="H307" s="213" t="s">
        <v>3145</v>
      </c>
      <c r="I307" s="228">
        <v>44169</v>
      </c>
      <c r="J307" s="229">
        <v>44175.639131944445</v>
      </c>
      <c r="K307" s="213"/>
      <c r="L307" s="228">
        <v>44333</v>
      </c>
      <c r="M307" s="228">
        <v>44333</v>
      </c>
      <c r="N307" s="213" t="s">
        <v>3362</v>
      </c>
      <c r="O307" s="213" t="str">
        <f>"Siguiri"</f>
        <v>Siguiri</v>
      </c>
    </row>
    <row r="308" spans="2:15" x14ac:dyDescent="0.2">
      <c r="B308" s="218" t="str">
        <f>"23084"</f>
        <v>23084</v>
      </c>
      <c r="C308" s="218" t="str">
        <f>""</f>
        <v/>
      </c>
      <c r="D308" s="218" t="s">
        <v>3219</v>
      </c>
      <c r="E308" s="213" t="s">
        <v>2735</v>
      </c>
      <c r="F308" s="213" t="s">
        <v>644</v>
      </c>
      <c r="G308" s="213" t="s">
        <v>3144</v>
      </c>
      <c r="H308" s="213" t="s">
        <v>3145</v>
      </c>
      <c r="I308" s="228">
        <v>44278</v>
      </c>
      <c r="J308" s="229">
        <v>44278.381296296298</v>
      </c>
      <c r="K308" s="213"/>
      <c r="L308" s="228">
        <v>44306</v>
      </c>
      <c r="M308" s="228">
        <v>44306</v>
      </c>
      <c r="N308" s="213" t="s">
        <v>3363</v>
      </c>
      <c r="O308" s="213" t="str">
        <f>"Kouroussa"</f>
        <v>Kouroussa</v>
      </c>
    </row>
    <row r="309" spans="2:15" x14ac:dyDescent="0.2">
      <c r="B309" s="218" t="str">
        <f>"23085"</f>
        <v>23085</v>
      </c>
      <c r="C309" s="218" t="str">
        <f>""</f>
        <v/>
      </c>
      <c r="D309" s="218" t="s">
        <v>3219</v>
      </c>
      <c r="E309" s="213" t="s">
        <v>2735</v>
      </c>
      <c r="F309" s="213" t="s">
        <v>644</v>
      </c>
      <c r="G309" s="213" t="s">
        <v>3144</v>
      </c>
      <c r="H309" s="213" t="s">
        <v>3145</v>
      </c>
      <c r="I309" s="228">
        <v>44277</v>
      </c>
      <c r="J309" s="229">
        <v>44278.415543981479</v>
      </c>
      <c r="K309" s="213"/>
      <c r="L309" s="228">
        <v>44306</v>
      </c>
      <c r="M309" s="228">
        <v>44306</v>
      </c>
      <c r="N309" s="213" t="s">
        <v>3364</v>
      </c>
      <c r="O309" s="213" t="str">
        <f>"Mandiana"</f>
        <v>Mandiana</v>
      </c>
    </row>
    <row r="310" spans="2:15" x14ac:dyDescent="0.2">
      <c r="B310" s="218" t="str">
        <f>"23086"</f>
        <v>23086</v>
      </c>
      <c r="C310" s="218" t="str">
        <f>""</f>
        <v/>
      </c>
      <c r="D310" s="218" t="s">
        <v>3219</v>
      </c>
      <c r="E310" s="213" t="s">
        <v>2735</v>
      </c>
      <c r="F310" s="213" t="s">
        <v>644</v>
      </c>
      <c r="G310" s="213" t="s">
        <v>3144</v>
      </c>
      <c r="H310" s="213" t="s">
        <v>3145</v>
      </c>
      <c r="I310" s="228">
        <v>44277</v>
      </c>
      <c r="J310" s="229">
        <v>44278.435949074075</v>
      </c>
      <c r="K310" s="213"/>
      <c r="L310" s="228">
        <v>44306</v>
      </c>
      <c r="M310" s="228">
        <v>44306</v>
      </c>
      <c r="N310" s="213" t="s">
        <v>3365</v>
      </c>
      <c r="O310" s="213" t="str">
        <f>"Mandiana"</f>
        <v>Mandiana</v>
      </c>
    </row>
    <row r="311" spans="2:15" x14ac:dyDescent="0.2">
      <c r="B311" s="218" t="str">
        <f>"23156"</f>
        <v>23156</v>
      </c>
      <c r="C311" s="218" t="str">
        <f>""</f>
        <v/>
      </c>
      <c r="D311" s="218" t="s">
        <v>3219</v>
      </c>
      <c r="E311" s="213" t="s">
        <v>2735</v>
      </c>
      <c r="F311" s="213" t="s">
        <v>644</v>
      </c>
      <c r="G311" s="213" t="s">
        <v>3144</v>
      </c>
      <c r="H311" s="213" t="s">
        <v>3145</v>
      </c>
      <c r="I311" s="228">
        <v>44375</v>
      </c>
      <c r="J311" s="229">
        <v>44403.656099537038</v>
      </c>
      <c r="K311" s="213"/>
      <c r="L311" s="228">
        <v>44434</v>
      </c>
      <c r="M311" s="228">
        <v>44434</v>
      </c>
      <c r="N311" s="213" t="s">
        <v>3366</v>
      </c>
      <c r="O311" s="213" t="str">
        <f>"Faranah"</f>
        <v>Faranah</v>
      </c>
    </row>
  </sheetData>
  <autoFilter ref="B5:M115" xr:uid="{9E436F7B-17AD-4EEB-A351-F5A21EC9CFE0}"/>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12ABA-4929-4D3E-8E79-7B4183DCFDD6}">
  <dimension ref="B2:C16"/>
  <sheetViews>
    <sheetView showGridLines="0" zoomScale="85" zoomScaleNormal="85" workbookViewId="0">
      <selection activeCell="C7" sqref="C7"/>
    </sheetView>
  </sheetViews>
  <sheetFormatPr defaultColWidth="11.43359375" defaultRowHeight="15" x14ac:dyDescent="0.2"/>
  <cols>
    <col min="2" max="2" width="4.9765625" style="289" customWidth="1"/>
    <col min="3" max="3" width="66.5859375" bestFit="1" customWidth="1"/>
  </cols>
  <sheetData>
    <row r="2" spans="2:3" x14ac:dyDescent="0.2">
      <c r="B2" s="128" t="s">
        <v>8</v>
      </c>
    </row>
    <row r="5" spans="2:3" x14ac:dyDescent="0.2">
      <c r="B5" s="291" t="s">
        <v>3367</v>
      </c>
      <c r="C5" s="291" t="s">
        <v>28</v>
      </c>
    </row>
    <row r="6" spans="2:3" x14ac:dyDescent="0.2">
      <c r="B6" s="291" t="s">
        <v>3368</v>
      </c>
      <c r="C6" s="291" t="s">
        <v>32</v>
      </c>
    </row>
    <row r="7" spans="2:3" x14ac:dyDescent="0.2">
      <c r="B7" s="291" t="s">
        <v>3369</v>
      </c>
      <c r="C7" s="291" t="s">
        <v>36</v>
      </c>
    </row>
    <row r="8" spans="2:3" x14ac:dyDescent="0.2">
      <c r="B8" s="291" t="s">
        <v>3370</v>
      </c>
      <c r="C8" s="291" t="s">
        <v>44</v>
      </c>
    </row>
    <row r="9" spans="2:3" x14ac:dyDescent="0.2">
      <c r="B9" s="291" t="s">
        <v>3371</v>
      </c>
      <c r="C9" s="291" t="s">
        <v>3372</v>
      </c>
    </row>
    <row r="10" spans="2:3" x14ac:dyDescent="0.2">
      <c r="B10" s="291" t="s">
        <v>3373</v>
      </c>
      <c r="C10" s="291" t="s">
        <v>1728</v>
      </c>
    </row>
    <row r="11" spans="2:3" x14ac:dyDescent="0.2">
      <c r="B11" s="291" t="s">
        <v>3374</v>
      </c>
      <c r="C11" s="291" t="s">
        <v>40</v>
      </c>
    </row>
    <row r="12" spans="2:3" x14ac:dyDescent="0.2">
      <c r="B12" s="291" t="s">
        <v>3375</v>
      </c>
      <c r="C12" s="291" t="s">
        <v>58</v>
      </c>
    </row>
    <row r="13" spans="2:3" x14ac:dyDescent="0.2">
      <c r="B13" s="291" t="s">
        <v>3376</v>
      </c>
      <c r="C13" s="291" t="s">
        <v>59</v>
      </c>
    </row>
    <row r="14" spans="2:3" x14ac:dyDescent="0.2">
      <c r="B14" s="291" t="s">
        <v>3377</v>
      </c>
      <c r="C14" s="291" t="s">
        <v>60</v>
      </c>
    </row>
    <row r="15" spans="2:3" x14ac:dyDescent="0.2">
      <c r="B15" s="291" t="s">
        <v>3378</v>
      </c>
      <c r="C15" s="291" t="s">
        <v>61</v>
      </c>
    </row>
    <row r="16" spans="2:3" x14ac:dyDescent="0.2">
      <c r="B16" s="291" t="s">
        <v>3379</v>
      </c>
      <c r="C16" s="291" t="s">
        <v>56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2C7EA-94D5-4880-BCE5-8AD812BC780B}">
  <dimension ref="A3:N682"/>
  <sheetViews>
    <sheetView showGridLines="0" zoomScale="85" zoomScaleNormal="85" workbookViewId="0">
      <selection activeCell="M12" sqref="M12"/>
    </sheetView>
  </sheetViews>
  <sheetFormatPr defaultColWidth="11.56640625" defaultRowHeight="10.5" x14ac:dyDescent="0.2"/>
  <cols>
    <col min="1" max="1" width="4.4375" style="17" bestFit="1" customWidth="1"/>
    <col min="2" max="2" width="38.60546875" style="36" customWidth="1"/>
    <col min="3" max="3" width="14.52734375" style="13" bestFit="1" customWidth="1"/>
    <col min="4" max="4" width="0.94140625" style="13" customWidth="1"/>
    <col min="5" max="5" width="22.46484375" style="13" customWidth="1"/>
    <col min="6" max="6" width="13.85546875" style="10" bestFit="1" customWidth="1"/>
    <col min="7" max="7" width="19.50390625" style="13" bestFit="1" customWidth="1"/>
    <col min="8" max="8" width="0.94140625" style="13" customWidth="1"/>
    <col min="9" max="9" width="20.04296875" style="13" bestFit="1" customWidth="1"/>
    <col min="10" max="10" width="13.046875" style="13" bestFit="1" customWidth="1"/>
    <col min="11" max="11" width="20.04296875" style="13" bestFit="1" customWidth="1"/>
    <col min="12" max="12" width="0.94140625" style="13" customWidth="1"/>
    <col min="13" max="13" width="19.50390625" style="13" bestFit="1" customWidth="1"/>
    <col min="14" max="14" width="7.6640625" style="13" bestFit="1" customWidth="1"/>
    <col min="15" max="16384" width="11.56640625" style="13"/>
  </cols>
  <sheetData>
    <row r="3" spans="1:14" ht="19.5" x14ac:dyDescent="0.1">
      <c r="B3" s="11" t="s">
        <v>3380</v>
      </c>
      <c r="C3" s="12"/>
      <c r="E3" s="14" t="s">
        <v>28</v>
      </c>
      <c r="F3" s="12" t="s">
        <v>3381</v>
      </c>
      <c r="G3" s="15">
        <v>840333827</v>
      </c>
      <c r="J3" s="12" t="s">
        <v>3382</v>
      </c>
      <c r="K3" s="16">
        <v>2021</v>
      </c>
    </row>
    <row r="4" spans="1:14" x14ac:dyDescent="0.2">
      <c r="B4" s="20"/>
      <c r="C4" s="15"/>
      <c r="F4" s="13"/>
      <c r="J4" s="21"/>
      <c r="M4" s="22"/>
      <c r="N4" s="23"/>
    </row>
    <row r="5" spans="1:14" ht="13.5" customHeight="1" x14ac:dyDescent="0.2">
      <c r="B5" s="427" t="s">
        <v>3383</v>
      </c>
      <c r="C5" s="427" t="s">
        <v>3384</v>
      </c>
      <c r="E5" s="425" t="s">
        <v>3385</v>
      </c>
      <c r="F5" s="426"/>
      <c r="G5" s="427"/>
      <c r="I5" s="425" t="s">
        <v>3386</v>
      </c>
      <c r="J5" s="426"/>
      <c r="K5" s="427"/>
      <c r="M5" s="426" t="s">
        <v>3387</v>
      </c>
      <c r="N5" s="23"/>
    </row>
    <row r="6" spans="1:14" ht="11.25" thickBot="1" x14ac:dyDescent="0.25">
      <c r="B6" s="429"/>
      <c r="C6" s="429"/>
      <c r="D6" s="172"/>
      <c r="E6" s="18" t="s">
        <v>3388</v>
      </c>
      <c r="F6" s="19" t="s">
        <v>3389</v>
      </c>
      <c r="G6" s="27" t="s">
        <v>3390</v>
      </c>
      <c r="I6" s="18" t="s">
        <v>3388</v>
      </c>
      <c r="J6" s="19" t="s">
        <v>3389</v>
      </c>
      <c r="K6" s="27" t="s">
        <v>3390</v>
      </c>
      <c r="M6" s="428"/>
      <c r="N6" s="23"/>
    </row>
    <row r="7" spans="1:14" ht="19.5" x14ac:dyDescent="0.1">
      <c r="B7" s="188" t="s">
        <v>3391</v>
      </c>
      <c r="C7" s="25"/>
      <c r="D7" s="172"/>
      <c r="E7" s="25">
        <f>SUM(E8:E9)</f>
        <v>573492470239</v>
      </c>
      <c r="F7" s="25">
        <f>SUM(F8:F9)</f>
        <v>-43018901251</v>
      </c>
      <c r="G7" s="25">
        <f>SUM(G8:G9)</f>
        <v>530473568988</v>
      </c>
      <c r="I7" s="25">
        <f>SUM(I8:I9)</f>
        <v>533510434119</v>
      </c>
      <c r="J7" s="25">
        <f>SUM(J8:J9)</f>
        <v>0</v>
      </c>
      <c r="K7" s="25">
        <f>SUM(K8:K9)</f>
        <v>533510434119</v>
      </c>
      <c r="M7" s="25">
        <f>SUM(M8:M9)</f>
        <v>-3036865131</v>
      </c>
      <c r="N7" s="23"/>
    </row>
    <row r="8" spans="1:14" ht="19.5" x14ac:dyDescent="0.1">
      <c r="B8" s="189" t="s">
        <v>3392</v>
      </c>
      <c r="C8" s="9" t="s">
        <v>3393</v>
      </c>
      <c r="D8" s="172"/>
      <c r="E8" s="184">
        <v>554631668829</v>
      </c>
      <c r="F8" s="184">
        <v>-43018901251</v>
      </c>
      <c r="G8" s="184">
        <v>511612767578</v>
      </c>
      <c r="H8" s="183"/>
      <c r="I8" s="184">
        <v>505600124352</v>
      </c>
      <c r="J8" s="184">
        <v>0</v>
      </c>
      <c r="K8" s="184">
        <v>505600124352</v>
      </c>
      <c r="L8" s="183"/>
      <c r="M8" s="184">
        <f t="shared" ref="M8:M9" si="0">G8-K8</f>
        <v>6012643226</v>
      </c>
      <c r="N8" s="23"/>
    </row>
    <row r="9" spans="1:14" x14ac:dyDescent="0.2">
      <c r="B9" s="189" t="s">
        <v>3394</v>
      </c>
      <c r="C9" s="9" t="s">
        <v>3393</v>
      </c>
      <c r="D9" s="172"/>
      <c r="E9" s="184">
        <v>18860801410</v>
      </c>
      <c r="F9" s="184">
        <v>0</v>
      </c>
      <c r="G9" s="184">
        <v>18860801410</v>
      </c>
      <c r="H9" s="183"/>
      <c r="I9" s="184">
        <v>27910309767</v>
      </c>
      <c r="J9" s="184">
        <v>0</v>
      </c>
      <c r="K9" s="184">
        <v>27910309767</v>
      </c>
      <c r="L9" s="183"/>
      <c r="M9" s="184">
        <f t="shared" si="0"/>
        <v>-9049508357</v>
      </c>
      <c r="N9" s="23"/>
    </row>
    <row r="10" spans="1:14" ht="12.75" customHeight="1" x14ac:dyDescent="0.2">
      <c r="B10" s="188" t="s">
        <v>3395</v>
      </c>
      <c r="C10" s="25"/>
      <c r="D10" s="172"/>
      <c r="E10" s="185">
        <f>SUM(E11:E11)</f>
        <v>1364854350</v>
      </c>
      <c r="F10" s="185">
        <f>SUM(F11:F11)</f>
        <v>0</v>
      </c>
      <c r="G10" s="185">
        <f>SUM(G11:G11)</f>
        <v>1364854350</v>
      </c>
      <c r="H10" s="183"/>
      <c r="I10" s="185">
        <f>SUM(I11:I11)</f>
        <v>1090563263</v>
      </c>
      <c r="J10" s="185">
        <f>SUM(J11:J11)</f>
        <v>0</v>
      </c>
      <c r="K10" s="185">
        <f>SUM(K11:K11)</f>
        <v>1090563263</v>
      </c>
      <c r="L10" s="183"/>
      <c r="M10" s="185">
        <f>G10-K10</f>
        <v>274291087</v>
      </c>
    </row>
    <row r="11" spans="1:14" x14ac:dyDescent="0.2">
      <c r="A11" s="17" t="s">
        <v>3396</v>
      </c>
      <c r="B11" s="189" t="s">
        <v>3397</v>
      </c>
      <c r="C11" s="9" t="s">
        <v>3398</v>
      </c>
      <c r="D11" s="172"/>
      <c r="E11" s="184">
        <v>1364854350</v>
      </c>
      <c r="F11" s="184">
        <v>0</v>
      </c>
      <c r="G11" s="184">
        <v>1364854350</v>
      </c>
      <c r="H11" s="183"/>
      <c r="I11" s="184">
        <v>1090563263</v>
      </c>
      <c r="J11" s="184">
        <v>0</v>
      </c>
      <c r="K11" s="184">
        <v>1090563263</v>
      </c>
      <c r="L11" s="183"/>
      <c r="M11" s="184">
        <f>G11-K11</f>
        <v>274291087</v>
      </c>
    </row>
    <row r="12" spans="1:14" x14ac:dyDescent="0.2">
      <c r="B12" s="34" t="s">
        <v>3399</v>
      </c>
      <c r="C12" s="34"/>
      <c r="D12" s="172"/>
      <c r="E12" s="186">
        <f>E10+E7</f>
        <v>574857324589</v>
      </c>
      <c r="F12" s="186">
        <f>F10+F7</f>
        <v>-43018901251</v>
      </c>
      <c r="G12" s="186">
        <f>G10+G7</f>
        <v>531838423338</v>
      </c>
      <c r="H12" s="187"/>
      <c r="I12" s="186">
        <f>I10+I7</f>
        <v>534600997382</v>
      </c>
      <c r="J12" s="186">
        <f>J10+J7</f>
        <v>0</v>
      </c>
      <c r="K12" s="186">
        <f>K10+K7</f>
        <v>534600997382</v>
      </c>
      <c r="L12" s="187"/>
      <c r="M12" s="186">
        <f>M10+M7</f>
        <v>-2762574044</v>
      </c>
    </row>
    <row r="13" spans="1:14" x14ac:dyDescent="0.2">
      <c r="B13" s="190"/>
      <c r="C13" s="38"/>
      <c r="D13" s="38"/>
      <c r="E13" s="38"/>
      <c r="F13" s="32"/>
      <c r="G13" s="32"/>
      <c r="I13" s="32"/>
      <c r="J13" s="32"/>
      <c r="K13" s="32"/>
      <c r="M13" s="32"/>
    </row>
    <row r="14" spans="1:14" x14ac:dyDescent="0.1">
      <c r="A14" s="39"/>
      <c r="B14" s="190"/>
      <c r="C14" s="38"/>
      <c r="D14" s="38"/>
      <c r="E14" s="38"/>
      <c r="G14" s="38"/>
      <c r="I14" s="39"/>
      <c r="J14" s="17"/>
      <c r="K14" s="17"/>
      <c r="N14" s="41"/>
    </row>
    <row r="15" spans="1:14" x14ac:dyDescent="0.2">
      <c r="A15" s="39"/>
      <c r="B15" s="190"/>
      <c r="C15" s="38"/>
      <c r="D15" s="38"/>
      <c r="E15" s="38"/>
      <c r="F15" s="39"/>
      <c r="G15" s="38"/>
      <c r="I15" s="39"/>
      <c r="J15" s="17"/>
      <c r="K15" s="17"/>
      <c r="N15" s="43"/>
    </row>
    <row r="16" spans="1:14" x14ac:dyDescent="0.2">
      <c r="A16" s="39"/>
      <c r="B16" s="191"/>
      <c r="C16" s="39"/>
      <c r="D16" s="39"/>
      <c r="E16" s="39"/>
      <c r="F16" s="39"/>
      <c r="G16" s="38"/>
      <c r="I16" s="39"/>
      <c r="J16" s="17"/>
      <c r="K16" s="17"/>
      <c r="N16" s="44"/>
    </row>
    <row r="17" spans="1:14" x14ac:dyDescent="0.2">
      <c r="A17" s="39"/>
      <c r="B17" s="191"/>
      <c r="C17" s="39"/>
      <c r="D17" s="39"/>
      <c r="E17" s="39"/>
      <c r="F17" s="39"/>
      <c r="G17" s="38"/>
      <c r="I17" s="39"/>
      <c r="J17" s="17"/>
      <c r="K17" s="17"/>
      <c r="N17" s="44"/>
    </row>
    <row r="18" spans="1:14" x14ac:dyDescent="0.2">
      <c r="A18" s="39"/>
      <c r="B18" s="191"/>
      <c r="C18" s="39"/>
      <c r="D18" s="39"/>
      <c r="E18" s="39"/>
      <c r="F18" s="39"/>
      <c r="G18" s="38"/>
      <c r="I18" s="39"/>
      <c r="J18" s="17"/>
      <c r="K18" s="17"/>
      <c r="N18" s="44"/>
    </row>
    <row r="19" spans="1:14" x14ac:dyDescent="0.2">
      <c r="A19" s="39"/>
      <c r="B19" s="191"/>
      <c r="C19" s="39"/>
      <c r="D19" s="39"/>
      <c r="E19" s="39"/>
      <c r="F19" s="39"/>
      <c r="G19" s="38"/>
      <c r="I19" s="39"/>
      <c r="J19" s="17"/>
      <c r="K19" s="17"/>
      <c r="N19" s="44"/>
    </row>
    <row r="20" spans="1:14" x14ac:dyDescent="0.2">
      <c r="A20" s="39"/>
      <c r="B20" s="191"/>
      <c r="C20" s="39"/>
      <c r="D20" s="39"/>
      <c r="E20" s="39"/>
      <c r="F20" s="39"/>
      <c r="G20" s="38"/>
      <c r="I20" s="39"/>
      <c r="J20" s="17"/>
      <c r="K20" s="17"/>
      <c r="N20" s="35"/>
    </row>
    <row r="21" spans="1:14" x14ac:dyDescent="0.2">
      <c r="A21" s="39"/>
      <c r="B21" s="191"/>
      <c r="C21" s="39"/>
      <c r="D21" s="39"/>
      <c r="E21" s="39"/>
      <c r="F21" s="39"/>
      <c r="G21" s="38"/>
      <c r="I21" s="39"/>
      <c r="J21" s="17"/>
      <c r="K21" s="17"/>
      <c r="N21" s="35"/>
    </row>
    <row r="22" spans="1:14" x14ac:dyDescent="0.2">
      <c r="A22" s="39"/>
      <c r="B22" s="191"/>
      <c r="C22" s="39"/>
      <c r="D22" s="39"/>
      <c r="E22" s="39"/>
      <c r="F22" s="39"/>
      <c r="G22" s="38"/>
      <c r="I22" s="39"/>
      <c r="J22" s="17"/>
      <c r="K22" s="17"/>
      <c r="N22" s="35"/>
    </row>
    <row r="23" spans="1:14" x14ac:dyDescent="0.2">
      <c r="A23" s="39"/>
      <c r="B23" s="191"/>
      <c r="C23" s="39"/>
      <c r="D23" s="39"/>
      <c r="E23" s="39"/>
      <c r="F23" s="39"/>
      <c r="G23" s="38"/>
      <c r="I23" s="39"/>
      <c r="J23" s="17"/>
      <c r="K23" s="17"/>
      <c r="N23" s="35"/>
    </row>
    <row r="24" spans="1:14" x14ac:dyDescent="0.2">
      <c r="A24" s="39"/>
      <c r="B24" s="191"/>
      <c r="C24" s="39"/>
      <c r="D24" s="39"/>
      <c r="E24" s="39"/>
      <c r="F24" s="39"/>
      <c r="G24" s="38"/>
      <c r="I24" s="39"/>
      <c r="J24" s="17"/>
      <c r="K24" s="17"/>
      <c r="N24" s="35"/>
    </row>
    <row r="25" spans="1:14" x14ac:dyDescent="0.2">
      <c r="A25" s="39"/>
      <c r="B25" s="191"/>
      <c r="C25" s="39"/>
      <c r="D25" s="39"/>
      <c r="E25" s="39"/>
      <c r="F25" s="39"/>
      <c r="G25" s="38"/>
      <c r="I25" s="39"/>
      <c r="J25" s="17"/>
      <c r="K25" s="17"/>
    </row>
    <row r="26" spans="1:14" x14ac:dyDescent="0.1">
      <c r="A26" s="39"/>
      <c r="B26" s="191"/>
      <c r="C26" s="39"/>
      <c r="D26" s="39"/>
      <c r="E26" s="39"/>
      <c r="F26" s="39"/>
      <c r="G26" s="46"/>
      <c r="J26" s="17"/>
      <c r="K26" s="17"/>
      <c r="M26" s="47"/>
    </row>
    <row r="27" spans="1:14" x14ac:dyDescent="0.1">
      <c r="A27" s="39"/>
      <c r="B27" s="191"/>
      <c r="C27" s="39"/>
      <c r="D27" s="39"/>
      <c r="E27" s="39"/>
      <c r="F27" s="39"/>
      <c r="G27" s="50"/>
      <c r="J27" s="17"/>
      <c r="K27" s="17"/>
      <c r="M27" s="17"/>
    </row>
    <row r="28" spans="1:14" x14ac:dyDescent="0.1">
      <c r="A28" s="39"/>
      <c r="B28" s="191"/>
      <c r="C28" s="39"/>
      <c r="D28" s="39"/>
      <c r="E28" s="39"/>
      <c r="F28" s="39"/>
      <c r="G28" s="50"/>
      <c r="J28" s="17"/>
      <c r="K28" s="17"/>
      <c r="M28" s="47"/>
    </row>
    <row r="29" spans="1:14" x14ac:dyDescent="0.1">
      <c r="A29" s="39"/>
      <c r="B29" s="191"/>
      <c r="C29" s="39"/>
      <c r="D29" s="39"/>
      <c r="E29" s="39"/>
      <c r="F29" s="39"/>
      <c r="G29" s="50"/>
      <c r="J29" s="17"/>
      <c r="K29" s="17"/>
      <c r="M29" s="47"/>
    </row>
    <row r="30" spans="1:14" x14ac:dyDescent="0.1">
      <c r="A30" s="39"/>
      <c r="B30" s="191"/>
      <c r="C30" s="39"/>
      <c r="D30" s="39"/>
      <c r="E30" s="39"/>
      <c r="F30" s="39"/>
      <c r="G30" s="50"/>
      <c r="J30" s="17"/>
      <c r="K30" s="17"/>
      <c r="N30" s="35"/>
    </row>
    <row r="31" spans="1:14" x14ac:dyDescent="0.1">
      <c r="A31" s="39"/>
      <c r="B31" s="191"/>
      <c r="C31" s="39"/>
      <c r="D31" s="39"/>
      <c r="E31" s="39"/>
      <c r="F31" s="39"/>
      <c r="G31" s="50"/>
      <c r="J31" s="17"/>
      <c r="K31" s="17"/>
      <c r="N31" s="35"/>
    </row>
    <row r="32" spans="1:14" x14ac:dyDescent="0.1">
      <c r="A32" s="39"/>
      <c r="B32" s="191"/>
      <c r="C32" s="39"/>
      <c r="D32" s="39"/>
      <c r="E32" s="39"/>
      <c r="F32" s="39"/>
      <c r="G32" s="50"/>
      <c r="J32" s="17"/>
      <c r="K32" s="17"/>
      <c r="N32" s="35"/>
    </row>
    <row r="33" spans="1:14" x14ac:dyDescent="0.1">
      <c r="A33" s="39"/>
      <c r="B33" s="191"/>
      <c r="C33" s="39"/>
      <c r="D33" s="39"/>
      <c r="E33" s="39"/>
      <c r="F33" s="39"/>
      <c r="G33" s="50"/>
      <c r="J33" s="17"/>
      <c r="K33" s="17"/>
      <c r="N33" s="35"/>
    </row>
    <row r="34" spans="1:14" x14ac:dyDescent="0.1">
      <c r="A34" s="39"/>
      <c r="B34" s="191"/>
      <c r="C34" s="39"/>
      <c r="D34" s="39"/>
      <c r="E34" s="39"/>
      <c r="F34" s="39"/>
      <c r="G34" s="50"/>
      <c r="J34" s="17"/>
      <c r="K34" s="17"/>
      <c r="N34" s="35"/>
    </row>
    <row r="35" spans="1:14" x14ac:dyDescent="0.1">
      <c r="A35" s="39"/>
      <c r="B35" s="191"/>
      <c r="C35" s="39"/>
      <c r="D35" s="39"/>
      <c r="E35" s="39"/>
      <c r="F35" s="39"/>
      <c r="G35" s="50"/>
      <c r="J35" s="17"/>
      <c r="K35" s="17"/>
      <c r="N35" s="35"/>
    </row>
    <row r="36" spans="1:14" x14ac:dyDescent="0.1">
      <c r="A36" s="39"/>
      <c r="B36" s="191"/>
      <c r="C36" s="39"/>
      <c r="D36" s="39"/>
      <c r="E36" s="39"/>
      <c r="F36" s="39"/>
      <c r="G36" s="50"/>
      <c r="J36" s="17"/>
      <c r="K36" s="17"/>
      <c r="N36" s="35"/>
    </row>
    <row r="37" spans="1:14" x14ac:dyDescent="0.1">
      <c r="A37" s="39"/>
      <c r="B37" s="191"/>
      <c r="C37" s="39"/>
      <c r="D37" s="39"/>
      <c r="E37" s="39"/>
      <c r="F37" s="39"/>
      <c r="G37" s="50"/>
      <c r="J37" s="17"/>
      <c r="K37" s="17"/>
      <c r="N37" s="35"/>
    </row>
    <row r="38" spans="1:14" x14ac:dyDescent="0.1">
      <c r="A38" s="39"/>
      <c r="B38" s="191"/>
      <c r="C38" s="39"/>
      <c r="D38" s="39"/>
      <c r="E38" s="39"/>
      <c r="F38" s="39"/>
      <c r="G38" s="52"/>
      <c r="J38" s="17"/>
      <c r="K38" s="17"/>
      <c r="N38" s="35"/>
    </row>
    <row r="39" spans="1:14" x14ac:dyDescent="0.1">
      <c r="A39" s="39"/>
      <c r="B39" s="191"/>
      <c r="C39" s="39"/>
      <c r="D39" s="39"/>
      <c r="E39" s="39"/>
      <c r="F39" s="39"/>
      <c r="G39" s="52"/>
      <c r="J39" s="17"/>
      <c r="K39" s="17"/>
      <c r="N39" s="35"/>
    </row>
    <row r="40" spans="1:14" x14ac:dyDescent="0.1">
      <c r="A40" s="39"/>
      <c r="B40" s="191"/>
      <c r="C40" s="39"/>
      <c r="D40" s="39"/>
      <c r="E40" s="39"/>
      <c r="F40" s="39"/>
      <c r="G40" s="52"/>
      <c r="J40" s="17"/>
      <c r="K40" s="17"/>
      <c r="N40" s="35"/>
    </row>
    <row r="41" spans="1:14" x14ac:dyDescent="0.1">
      <c r="A41" s="39"/>
      <c r="B41" s="191"/>
      <c r="C41" s="39"/>
      <c r="D41" s="39"/>
      <c r="E41" s="39"/>
      <c r="F41" s="39"/>
      <c r="G41" s="52"/>
      <c r="J41" s="17"/>
      <c r="K41" s="17"/>
      <c r="N41" s="35"/>
    </row>
    <row r="42" spans="1:14" x14ac:dyDescent="0.1">
      <c r="A42" s="39"/>
      <c r="B42" s="191"/>
      <c r="C42" s="39"/>
      <c r="D42" s="39"/>
      <c r="E42" s="39"/>
      <c r="F42" s="39"/>
      <c r="G42" s="52"/>
      <c r="J42" s="17"/>
      <c r="K42" s="17"/>
      <c r="N42" s="35"/>
    </row>
    <row r="43" spans="1:14" x14ac:dyDescent="0.1">
      <c r="A43" s="39"/>
      <c r="B43" s="191"/>
      <c r="C43" s="39"/>
      <c r="D43" s="39"/>
      <c r="E43" s="39"/>
      <c r="F43" s="39"/>
      <c r="G43" s="52"/>
      <c r="J43" s="17"/>
      <c r="K43" s="17"/>
      <c r="N43" s="35"/>
    </row>
    <row r="44" spans="1:14" x14ac:dyDescent="0.1">
      <c r="A44" s="39"/>
      <c r="B44" s="191"/>
      <c r="C44" s="39"/>
      <c r="D44" s="39"/>
      <c r="E44" s="39"/>
      <c r="F44" s="39"/>
      <c r="G44" s="52"/>
      <c r="J44" s="17"/>
      <c r="K44" s="17"/>
      <c r="N44" s="35"/>
    </row>
    <row r="45" spans="1:14" x14ac:dyDescent="0.1">
      <c r="A45" s="39"/>
      <c r="B45" s="191"/>
      <c r="C45" s="39"/>
      <c r="D45" s="39"/>
      <c r="E45" s="39"/>
      <c r="F45" s="39"/>
      <c r="G45" s="52"/>
      <c r="J45" s="17"/>
      <c r="K45" s="17"/>
      <c r="N45" s="35"/>
    </row>
    <row r="46" spans="1:14" x14ac:dyDescent="0.1">
      <c r="A46" s="39"/>
      <c r="B46" s="191"/>
      <c r="C46" s="39"/>
      <c r="D46" s="39"/>
      <c r="E46" s="39"/>
      <c r="F46" s="39"/>
      <c r="G46" s="52"/>
      <c r="J46" s="17"/>
      <c r="K46" s="17"/>
      <c r="N46" s="35"/>
    </row>
    <row r="47" spans="1:14" x14ac:dyDescent="0.1">
      <c r="A47" s="39"/>
      <c r="B47" s="191"/>
      <c r="C47" s="39"/>
      <c r="D47" s="39"/>
      <c r="E47" s="39"/>
      <c r="F47" s="39"/>
      <c r="G47" s="52"/>
      <c r="J47" s="17"/>
      <c r="K47" s="17"/>
      <c r="N47" s="35"/>
    </row>
    <row r="48" spans="1:14" x14ac:dyDescent="0.1">
      <c r="A48" s="39"/>
      <c r="B48" s="191"/>
      <c r="C48" s="39"/>
      <c r="D48" s="39"/>
      <c r="E48" s="39"/>
      <c r="F48" s="39"/>
      <c r="G48" s="52"/>
      <c r="J48" s="17"/>
      <c r="K48" s="17"/>
      <c r="N48" s="35"/>
    </row>
    <row r="49" spans="1:14" x14ac:dyDescent="0.1">
      <c r="A49" s="39"/>
      <c r="B49" s="191"/>
      <c r="C49" s="39"/>
      <c r="D49" s="39"/>
      <c r="E49" s="39"/>
      <c r="F49" s="39"/>
      <c r="G49" s="52"/>
      <c r="J49" s="17"/>
      <c r="K49" s="17"/>
      <c r="N49" s="35"/>
    </row>
    <row r="50" spans="1:14" x14ac:dyDescent="0.1">
      <c r="A50" s="39"/>
      <c r="B50" s="191"/>
      <c r="C50" s="39"/>
      <c r="D50" s="39"/>
      <c r="E50" s="39"/>
      <c r="F50" s="39"/>
      <c r="G50" s="52"/>
      <c r="J50" s="17"/>
      <c r="K50" s="17"/>
      <c r="N50" s="35"/>
    </row>
    <row r="51" spans="1:14" x14ac:dyDescent="0.1">
      <c r="A51" s="39"/>
      <c r="B51" s="191"/>
      <c r="C51" s="39"/>
      <c r="D51" s="39"/>
      <c r="E51" s="39"/>
      <c r="F51" s="39"/>
      <c r="G51" s="52"/>
      <c r="J51" s="17"/>
      <c r="K51" s="17"/>
      <c r="N51" s="35"/>
    </row>
    <row r="52" spans="1:14" x14ac:dyDescent="0.1">
      <c r="A52" s="39"/>
      <c r="B52" s="191"/>
      <c r="C52" s="39"/>
      <c r="D52" s="39"/>
      <c r="E52" s="39"/>
      <c r="F52" s="39"/>
      <c r="G52" s="52"/>
      <c r="J52" s="17"/>
      <c r="K52" s="17"/>
      <c r="N52" s="35"/>
    </row>
    <row r="53" spans="1:14" x14ac:dyDescent="0.1">
      <c r="A53" s="39"/>
      <c r="B53" s="191"/>
      <c r="C53" s="39"/>
      <c r="D53" s="39"/>
      <c r="E53" s="39"/>
      <c r="F53" s="39"/>
      <c r="G53" s="52"/>
      <c r="J53" s="17"/>
      <c r="K53" s="17"/>
      <c r="N53" s="35"/>
    </row>
    <row r="54" spans="1:14" x14ac:dyDescent="0.1">
      <c r="A54" s="39"/>
      <c r="B54" s="191"/>
      <c r="C54" s="39"/>
      <c r="D54" s="39"/>
      <c r="E54" s="39"/>
      <c r="F54" s="39"/>
      <c r="G54" s="52"/>
      <c r="J54" s="17"/>
      <c r="K54" s="17"/>
      <c r="N54" s="35"/>
    </row>
    <row r="55" spans="1:14" x14ac:dyDescent="0.1">
      <c r="A55" s="39"/>
      <c r="B55" s="191"/>
      <c r="C55" s="39"/>
      <c r="D55" s="39"/>
      <c r="E55" s="39"/>
      <c r="F55" s="39"/>
      <c r="G55" s="52"/>
      <c r="J55" s="17"/>
      <c r="K55" s="17"/>
      <c r="N55" s="35"/>
    </row>
    <row r="56" spans="1:14" x14ac:dyDescent="0.1">
      <c r="A56" s="39"/>
      <c r="B56" s="191"/>
      <c r="C56" s="39"/>
      <c r="D56" s="39"/>
      <c r="E56" s="39"/>
      <c r="F56" s="39"/>
      <c r="G56" s="52"/>
      <c r="J56" s="17"/>
      <c r="K56" s="17"/>
      <c r="N56" s="35"/>
    </row>
    <row r="57" spans="1:14" x14ac:dyDescent="0.1">
      <c r="A57" s="39"/>
      <c r="B57" s="191"/>
      <c r="C57" s="39"/>
      <c r="D57" s="39"/>
      <c r="E57" s="39"/>
      <c r="F57" s="39"/>
      <c r="G57" s="52"/>
      <c r="J57" s="17"/>
      <c r="K57" s="17"/>
      <c r="N57" s="35"/>
    </row>
    <row r="58" spans="1:14" x14ac:dyDescent="0.1">
      <c r="A58" s="39"/>
      <c r="B58" s="191"/>
      <c r="C58" s="39"/>
      <c r="D58" s="39"/>
      <c r="E58" s="39"/>
      <c r="F58" s="39"/>
      <c r="G58" s="52"/>
      <c r="J58" s="17"/>
      <c r="K58" s="17"/>
      <c r="N58" s="35"/>
    </row>
    <row r="59" spans="1:14" x14ac:dyDescent="0.1">
      <c r="A59" s="39"/>
      <c r="B59" s="191"/>
      <c r="C59" s="39"/>
      <c r="D59" s="39"/>
      <c r="E59" s="39"/>
      <c r="F59" s="39"/>
      <c r="G59" s="52"/>
      <c r="J59" s="17"/>
      <c r="K59" s="17"/>
      <c r="N59" s="35"/>
    </row>
    <row r="60" spans="1:14" x14ac:dyDescent="0.1">
      <c r="A60" s="39"/>
      <c r="B60" s="191"/>
      <c r="C60" s="39"/>
      <c r="D60" s="39"/>
      <c r="E60" s="39"/>
      <c r="F60" s="39"/>
      <c r="G60" s="52"/>
      <c r="J60" s="17"/>
      <c r="K60" s="17"/>
      <c r="N60" s="35"/>
    </row>
    <row r="61" spans="1:14" x14ac:dyDescent="0.1">
      <c r="A61" s="39"/>
      <c r="B61" s="191"/>
      <c r="C61" s="39"/>
      <c r="D61" s="39"/>
      <c r="E61" s="39"/>
      <c r="F61" s="39"/>
      <c r="G61" s="52"/>
      <c r="J61" s="17"/>
      <c r="K61" s="17"/>
      <c r="N61" s="35"/>
    </row>
    <row r="62" spans="1:14" x14ac:dyDescent="0.1">
      <c r="A62" s="39"/>
      <c r="B62" s="191"/>
      <c r="C62" s="39"/>
      <c r="D62" s="39"/>
      <c r="E62" s="39"/>
      <c r="F62" s="39"/>
      <c r="G62" s="52"/>
      <c r="J62" s="17"/>
      <c r="K62" s="17"/>
      <c r="N62" s="9"/>
    </row>
    <row r="63" spans="1:14" x14ac:dyDescent="0.1">
      <c r="A63" s="39"/>
      <c r="B63" s="191"/>
      <c r="C63" s="39"/>
      <c r="D63" s="39"/>
      <c r="E63" s="39"/>
      <c r="F63" s="39"/>
      <c r="G63" s="52"/>
      <c r="J63" s="17"/>
      <c r="K63" s="17"/>
      <c r="N63" s="9"/>
    </row>
    <row r="64" spans="1:14" x14ac:dyDescent="0.1">
      <c r="A64" s="39"/>
      <c r="B64" s="191"/>
      <c r="C64" s="39"/>
      <c r="D64" s="39"/>
      <c r="E64" s="39"/>
      <c r="F64" s="39"/>
      <c r="G64" s="52"/>
      <c r="J64" s="17"/>
      <c r="K64" s="17"/>
      <c r="N64" s="9"/>
    </row>
    <row r="65" spans="1:14" x14ac:dyDescent="0.1">
      <c r="A65" s="39"/>
      <c r="B65" s="191"/>
      <c r="C65" s="39"/>
      <c r="D65" s="39"/>
      <c r="E65" s="39"/>
      <c r="F65" s="39"/>
      <c r="G65" s="52"/>
      <c r="J65" s="17"/>
      <c r="K65" s="17"/>
      <c r="N65" s="9"/>
    </row>
    <row r="66" spans="1:14" x14ac:dyDescent="0.1">
      <c r="A66" s="39"/>
      <c r="B66" s="191"/>
      <c r="C66" s="39"/>
      <c r="D66" s="39"/>
      <c r="E66" s="39"/>
      <c r="F66" s="39"/>
      <c r="G66" s="52"/>
      <c r="J66" s="17"/>
      <c r="K66" s="17"/>
      <c r="N66" s="9"/>
    </row>
    <row r="67" spans="1:14" x14ac:dyDescent="0.1">
      <c r="A67" s="39"/>
      <c r="B67" s="191"/>
      <c r="C67" s="39"/>
      <c r="D67" s="39"/>
      <c r="E67" s="39"/>
      <c r="F67" s="39"/>
      <c r="G67" s="52"/>
      <c r="J67" s="17"/>
      <c r="K67" s="17"/>
      <c r="N67" s="9"/>
    </row>
    <row r="68" spans="1:14" x14ac:dyDescent="0.1">
      <c r="A68" s="39"/>
      <c r="B68" s="191"/>
      <c r="C68" s="39"/>
      <c r="D68" s="39"/>
      <c r="E68" s="39"/>
      <c r="F68" s="39"/>
      <c r="G68" s="52"/>
      <c r="J68" s="17"/>
      <c r="K68" s="17"/>
      <c r="N68" s="9"/>
    </row>
    <row r="69" spans="1:14" x14ac:dyDescent="0.1">
      <c r="A69" s="39"/>
      <c r="B69" s="191"/>
      <c r="C69" s="39"/>
      <c r="D69" s="39"/>
      <c r="E69" s="39"/>
      <c r="F69" s="39"/>
      <c r="G69" s="52"/>
      <c r="J69" s="17"/>
      <c r="K69" s="17"/>
      <c r="N69" s="9"/>
    </row>
    <row r="70" spans="1:14" x14ac:dyDescent="0.1">
      <c r="A70" s="39"/>
      <c r="B70" s="191"/>
      <c r="C70" s="39"/>
      <c r="D70" s="39"/>
      <c r="E70" s="39"/>
      <c r="F70" s="39"/>
      <c r="G70" s="52"/>
      <c r="J70" s="17"/>
      <c r="K70" s="17"/>
      <c r="N70" s="9"/>
    </row>
    <row r="71" spans="1:14" x14ac:dyDescent="0.1">
      <c r="A71" s="39"/>
      <c r="B71" s="191"/>
      <c r="C71" s="39"/>
      <c r="D71" s="39"/>
      <c r="E71" s="39"/>
      <c r="F71" s="39"/>
      <c r="G71" s="52"/>
      <c r="J71" s="17"/>
      <c r="K71" s="17"/>
      <c r="N71" s="9"/>
    </row>
    <row r="72" spans="1:14" x14ac:dyDescent="0.1">
      <c r="A72" s="39"/>
      <c r="B72" s="191"/>
      <c r="C72" s="39"/>
      <c r="D72" s="39"/>
      <c r="E72" s="39"/>
      <c r="F72" s="39"/>
      <c r="G72" s="52"/>
      <c r="J72" s="17"/>
      <c r="K72" s="17"/>
      <c r="N72" s="9"/>
    </row>
    <row r="73" spans="1:14" x14ac:dyDescent="0.1">
      <c r="A73" s="39"/>
      <c r="B73" s="191"/>
      <c r="C73" s="39"/>
      <c r="D73" s="39"/>
      <c r="E73" s="39"/>
      <c r="F73" s="39"/>
      <c r="G73" s="52"/>
      <c r="J73" s="17"/>
      <c r="K73" s="17"/>
      <c r="N73" s="9"/>
    </row>
    <row r="74" spans="1:14" x14ac:dyDescent="0.1">
      <c r="A74" s="39"/>
      <c r="B74" s="191"/>
      <c r="C74" s="39"/>
      <c r="D74" s="39"/>
      <c r="E74" s="39"/>
      <c r="F74" s="39"/>
      <c r="G74" s="52"/>
      <c r="J74" s="17"/>
      <c r="K74" s="17"/>
      <c r="N74" s="9"/>
    </row>
    <row r="75" spans="1:14" x14ac:dyDescent="0.1">
      <c r="A75" s="39"/>
      <c r="B75" s="191"/>
      <c r="C75" s="39"/>
      <c r="D75" s="39"/>
      <c r="E75" s="39"/>
      <c r="F75" s="39"/>
      <c r="G75" s="52"/>
      <c r="J75" s="17"/>
      <c r="K75" s="17"/>
      <c r="N75" s="9"/>
    </row>
    <row r="76" spans="1:14" x14ac:dyDescent="0.1">
      <c r="A76" s="39"/>
      <c r="B76" s="191"/>
      <c r="C76" s="39"/>
      <c r="D76" s="39"/>
      <c r="E76" s="39"/>
      <c r="F76" s="39"/>
      <c r="G76" s="52"/>
      <c r="J76" s="17"/>
      <c r="K76" s="17"/>
      <c r="N76" s="9"/>
    </row>
    <row r="77" spans="1:14" x14ac:dyDescent="0.1">
      <c r="A77" s="39"/>
      <c r="B77" s="191"/>
      <c r="C77" s="39"/>
      <c r="D77" s="39"/>
      <c r="E77" s="39"/>
      <c r="F77" s="39"/>
      <c r="G77" s="52"/>
      <c r="J77" s="17"/>
      <c r="K77" s="17"/>
      <c r="N77" s="9"/>
    </row>
    <row r="78" spans="1:14" x14ac:dyDescent="0.1">
      <c r="A78" s="39"/>
      <c r="B78" s="191"/>
      <c r="C78" s="39"/>
      <c r="D78" s="39"/>
      <c r="E78" s="39"/>
      <c r="F78" s="39"/>
      <c r="G78" s="52"/>
      <c r="J78" s="17"/>
      <c r="K78" s="17"/>
      <c r="N78" s="9"/>
    </row>
    <row r="79" spans="1:14" x14ac:dyDescent="0.1">
      <c r="A79" s="39"/>
      <c r="B79" s="191"/>
      <c r="C79" s="39"/>
      <c r="D79" s="39"/>
      <c r="E79" s="39"/>
      <c r="F79" s="39"/>
      <c r="G79" s="52"/>
      <c r="J79" s="17"/>
      <c r="K79" s="17"/>
      <c r="N79" s="9"/>
    </row>
    <row r="80" spans="1:14" x14ac:dyDescent="0.1">
      <c r="A80" s="39"/>
      <c r="B80" s="191"/>
      <c r="C80" s="39"/>
      <c r="D80" s="39"/>
      <c r="E80" s="39"/>
      <c r="F80" s="39"/>
      <c r="G80" s="52"/>
      <c r="J80" s="17"/>
      <c r="K80" s="17"/>
      <c r="N80" s="9"/>
    </row>
    <row r="81" spans="1:14" x14ac:dyDescent="0.1">
      <c r="A81" s="39"/>
      <c r="B81" s="191"/>
      <c r="C81" s="39"/>
      <c r="D81" s="39"/>
      <c r="E81" s="39"/>
      <c r="F81" s="39"/>
      <c r="G81" s="52"/>
      <c r="J81" s="17"/>
      <c r="K81" s="17"/>
      <c r="N81" s="9"/>
    </row>
    <row r="82" spans="1:14" x14ac:dyDescent="0.1">
      <c r="A82" s="39"/>
      <c r="B82" s="191"/>
      <c r="C82" s="39"/>
      <c r="D82" s="39"/>
      <c r="E82" s="39"/>
      <c r="F82" s="39"/>
      <c r="G82" s="52"/>
      <c r="J82" s="17"/>
      <c r="K82" s="17"/>
      <c r="N82" s="9"/>
    </row>
    <row r="83" spans="1:14" x14ac:dyDescent="0.1">
      <c r="A83" s="39"/>
      <c r="B83" s="191"/>
      <c r="C83" s="39"/>
      <c r="D83" s="39"/>
      <c r="E83" s="39"/>
      <c r="F83" s="39"/>
      <c r="G83" s="52"/>
      <c r="J83" s="17"/>
      <c r="K83" s="17"/>
      <c r="N83" s="9"/>
    </row>
    <row r="84" spans="1:14" x14ac:dyDescent="0.1">
      <c r="A84" s="39"/>
      <c r="B84" s="191"/>
      <c r="C84" s="39"/>
      <c r="D84" s="39"/>
      <c r="E84" s="39"/>
      <c r="F84" s="39"/>
      <c r="G84" s="52"/>
      <c r="J84" s="17"/>
      <c r="K84" s="17"/>
      <c r="N84" s="9"/>
    </row>
    <row r="85" spans="1:14" x14ac:dyDescent="0.1">
      <c r="A85" s="39"/>
      <c r="B85" s="191"/>
      <c r="C85" s="39"/>
      <c r="D85" s="39"/>
      <c r="E85" s="39"/>
      <c r="F85" s="39"/>
      <c r="G85" s="52"/>
      <c r="J85" s="17"/>
      <c r="K85" s="17"/>
      <c r="N85" s="9"/>
    </row>
    <row r="86" spans="1:14" x14ac:dyDescent="0.1">
      <c r="A86" s="39"/>
      <c r="B86" s="191"/>
      <c r="C86" s="39"/>
      <c r="D86" s="39"/>
      <c r="E86" s="39"/>
      <c r="F86" s="39"/>
      <c r="G86" s="52"/>
      <c r="J86" s="17"/>
      <c r="K86" s="17"/>
      <c r="N86" s="9"/>
    </row>
    <row r="87" spans="1:14" x14ac:dyDescent="0.1">
      <c r="A87" s="39"/>
      <c r="B87" s="191"/>
      <c r="C87" s="39"/>
      <c r="D87" s="39"/>
      <c r="E87" s="39"/>
      <c r="F87" s="39"/>
      <c r="G87" s="52"/>
      <c r="J87" s="17"/>
      <c r="K87" s="17"/>
      <c r="N87" s="9"/>
    </row>
    <row r="88" spans="1:14" x14ac:dyDescent="0.1">
      <c r="A88" s="39"/>
      <c r="B88" s="191"/>
      <c r="C88" s="39"/>
      <c r="D88" s="39"/>
      <c r="E88" s="39"/>
      <c r="F88" s="39"/>
      <c r="G88" s="52"/>
      <c r="J88" s="17"/>
      <c r="K88" s="17"/>
      <c r="N88" s="9"/>
    </row>
    <row r="89" spans="1:14" x14ac:dyDescent="0.1">
      <c r="A89" s="39"/>
      <c r="B89" s="191"/>
      <c r="C89" s="39"/>
      <c r="D89" s="39"/>
      <c r="E89" s="39"/>
      <c r="F89" s="39"/>
      <c r="G89" s="52"/>
      <c r="J89" s="17"/>
      <c r="K89" s="17"/>
      <c r="N89" s="9"/>
    </row>
    <row r="90" spans="1:14" x14ac:dyDescent="0.1">
      <c r="A90" s="39"/>
      <c r="B90" s="191"/>
      <c r="C90" s="39"/>
      <c r="D90" s="39"/>
      <c r="E90" s="39"/>
      <c r="F90" s="39"/>
      <c r="G90" s="52"/>
      <c r="J90" s="17"/>
      <c r="K90" s="17"/>
      <c r="N90" s="9"/>
    </row>
    <row r="91" spans="1:14" x14ac:dyDescent="0.1">
      <c r="A91" s="39"/>
      <c r="B91" s="191"/>
      <c r="C91" s="39"/>
      <c r="D91" s="39"/>
      <c r="E91" s="39"/>
      <c r="F91" s="39"/>
      <c r="G91" s="52"/>
      <c r="J91" s="17"/>
      <c r="K91" s="17"/>
      <c r="N91" s="9"/>
    </row>
    <row r="92" spans="1:14" x14ac:dyDescent="0.1">
      <c r="A92" s="39"/>
      <c r="B92" s="191"/>
      <c r="C92" s="39"/>
      <c r="D92" s="39"/>
      <c r="E92" s="39"/>
      <c r="F92" s="39"/>
      <c r="G92" s="52"/>
      <c r="J92" s="17"/>
      <c r="K92" s="17"/>
      <c r="N92" s="9"/>
    </row>
    <row r="93" spans="1:14" x14ac:dyDescent="0.1">
      <c r="A93" s="39"/>
      <c r="B93" s="191"/>
      <c r="C93" s="39"/>
      <c r="D93" s="39"/>
      <c r="E93" s="39"/>
      <c r="F93" s="39"/>
      <c r="G93" s="52"/>
      <c r="J93" s="17"/>
      <c r="K93" s="17"/>
      <c r="N93" s="9"/>
    </row>
    <row r="94" spans="1:14" x14ac:dyDescent="0.1">
      <c r="A94" s="39"/>
      <c r="B94" s="191"/>
      <c r="C94" s="39"/>
      <c r="D94" s="39"/>
      <c r="E94" s="39"/>
      <c r="F94" s="39"/>
      <c r="G94" s="52"/>
      <c r="J94" s="17"/>
      <c r="K94" s="17"/>
      <c r="N94" s="9"/>
    </row>
    <row r="95" spans="1:14" x14ac:dyDescent="0.1">
      <c r="A95" s="39"/>
      <c r="B95" s="191"/>
      <c r="C95" s="39"/>
      <c r="D95" s="39"/>
      <c r="E95" s="39"/>
      <c r="F95" s="39"/>
      <c r="G95" s="52"/>
      <c r="J95" s="17"/>
      <c r="K95" s="17"/>
      <c r="N95" s="9"/>
    </row>
    <row r="96" spans="1:14" x14ac:dyDescent="0.1">
      <c r="A96" s="39"/>
      <c r="B96" s="191"/>
      <c r="C96" s="39"/>
      <c r="D96" s="39"/>
      <c r="E96" s="39"/>
      <c r="F96" s="39"/>
      <c r="G96" s="52"/>
      <c r="J96" s="17"/>
      <c r="K96" s="17"/>
      <c r="N96" s="9"/>
    </row>
    <row r="97" spans="1:14" x14ac:dyDescent="0.1">
      <c r="A97" s="39"/>
      <c r="B97" s="191"/>
      <c r="C97" s="39"/>
      <c r="D97" s="39"/>
      <c r="E97" s="39"/>
      <c r="F97" s="39"/>
      <c r="G97" s="52"/>
      <c r="J97" s="17"/>
      <c r="K97" s="17"/>
      <c r="N97" s="9"/>
    </row>
    <row r="98" spans="1:14" x14ac:dyDescent="0.1">
      <c r="A98" s="39"/>
      <c r="B98" s="191"/>
      <c r="C98" s="39"/>
      <c r="D98" s="39"/>
      <c r="E98" s="39"/>
      <c r="F98" s="39"/>
      <c r="G98" s="52"/>
      <c r="J98" s="17"/>
      <c r="K98" s="17"/>
      <c r="N98" s="9"/>
    </row>
    <row r="99" spans="1:14" x14ac:dyDescent="0.1">
      <c r="A99" s="39"/>
      <c r="B99" s="191"/>
      <c r="C99" s="39"/>
      <c r="D99" s="39"/>
      <c r="E99" s="39"/>
      <c r="F99" s="39"/>
      <c r="G99" s="52"/>
      <c r="J99" s="17"/>
      <c r="K99" s="17"/>
      <c r="N99" s="9"/>
    </row>
    <row r="100" spans="1:14" x14ac:dyDescent="0.1">
      <c r="A100" s="39"/>
      <c r="B100" s="191"/>
      <c r="C100" s="39"/>
      <c r="D100" s="39"/>
      <c r="E100" s="39"/>
      <c r="F100" s="39"/>
      <c r="G100" s="52"/>
      <c r="J100" s="17"/>
      <c r="K100" s="17"/>
      <c r="N100" s="9"/>
    </row>
    <row r="101" spans="1:14" x14ac:dyDescent="0.1">
      <c r="A101" s="39"/>
      <c r="B101" s="191"/>
      <c r="C101" s="39"/>
      <c r="D101" s="39"/>
      <c r="E101" s="39"/>
      <c r="F101" s="39"/>
      <c r="G101" s="52"/>
      <c r="J101" s="17"/>
      <c r="K101" s="17"/>
      <c r="N101" s="9"/>
    </row>
    <row r="102" spans="1:14" x14ac:dyDescent="0.1">
      <c r="A102" s="39"/>
      <c r="B102" s="191"/>
      <c r="C102" s="39"/>
      <c r="D102" s="39"/>
      <c r="E102" s="39"/>
      <c r="F102" s="39"/>
      <c r="G102" s="52"/>
      <c r="J102" s="17"/>
      <c r="K102" s="17"/>
      <c r="N102" s="9"/>
    </row>
    <row r="103" spans="1:14" x14ac:dyDescent="0.1">
      <c r="A103" s="39"/>
      <c r="B103" s="191"/>
      <c r="C103" s="39"/>
      <c r="D103" s="39"/>
      <c r="E103" s="39"/>
      <c r="F103" s="39"/>
      <c r="G103" s="52"/>
      <c r="J103" s="17"/>
      <c r="K103" s="17"/>
      <c r="N103" s="9"/>
    </row>
    <row r="104" spans="1:14" x14ac:dyDescent="0.1">
      <c r="A104" s="39"/>
      <c r="B104" s="191"/>
      <c r="C104" s="39"/>
      <c r="D104" s="39"/>
      <c r="E104" s="39"/>
      <c r="F104" s="39"/>
      <c r="G104" s="52"/>
      <c r="J104" s="17"/>
      <c r="K104" s="17"/>
      <c r="N104" s="9"/>
    </row>
    <row r="105" spans="1:14" x14ac:dyDescent="0.1">
      <c r="A105" s="39"/>
      <c r="B105" s="191"/>
      <c r="C105" s="39"/>
      <c r="D105" s="39"/>
      <c r="E105" s="39"/>
      <c r="F105" s="39"/>
      <c r="G105" s="52"/>
      <c r="J105" s="17"/>
      <c r="K105" s="17"/>
      <c r="N105" s="9"/>
    </row>
    <row r="106" spans="1:14" x14ac:dyDescent="0.1">
      <c r="A106" s="39"/>
      <c r="B106" s="191"/>
      <c r="C106" s="39"/>
      <c r="D106" s="39"/>
      <c r="E106" s="39"/>
      <c r="F106" s="39"/>
      <c r="G106" s="52"/>
      <c r="J106" s="17"/>
      <c r="K106" s="17"/>
      <c r="N106" s="9"/>
    </row>
    <row r="107" spans="1:14" x14ac:dyDescent="0.1">
      <c r="A107" s="39"/>
      <c r="B107" s="191"/>
      <c r="C107" s="39"/>
      <c r="D107" s="39"/>
      <c r="E107" s="39"/>
      <c r="F107" s="39"/>
      <c r="G107" s="52"/>
      <c r="J107" s="17"/>
      <c r="K107" s="17"/>
      <c r="N107" s="9"/>
    </row>
    <row r="108" spans="1:14" x14ac:dyDescent="0.1">
      <c r="A108" s="39"/>
      <c r="B108" s="191"/>
      <c r="C108" s="39"/>
      <c r="D108" s="39"/>
      <c r="E108" s="39"/>
      <c r="F108" s="39"/>
      <c r="G108" s="52"/>
      <c r="J108" s="17"/>
      <c r="K108" s="17"/>
      <c r="N108" s="9"/>
    </row>
    <row r="109" spans="1:14" x14ac:dyDescent="0.1">
      <c r="A109" s="39"/>
      <c r="B109" s="191"/>
      <c r="C109" s="39"/>
      <c r="D109" s="39"/>
      <c r="E109" s="39"/>
      <c r="F109" s="39"/>
      <c r="G109" s="52"/>
      <c r="J109" s="17"/>
      <c r="K109" s="17"/>
      <c r="N109" s="9"/>
    </row>
    <row r="110" spans="1:14" x14ac:dyDescent="0.1">
      <c r="A110" s="39"/>
      <c r="B110" s="191"/>
      <c r="C110" s="39"/>
      <c r="D110" s="39"/>
      <c r="E110" s="39"/>
      <c r="F110" s="39"/>
      <c r="G110" s="52"/>
      <c r="J110" s="17"/>
      <c r="K110" s="17"/>
      <c r="N110" s="9"/>
    </row>
    <row r="111" spans="1:14" x14ac:dyDescent="0.1">
      <c r="A111" s="39"/>
      <c r="B111" s="191"/>
      <c r="C111" s="39"/>
      <c r="D111" s="39"/>
      <c r="E111" s="39"/>
      <c r="F111" s="39"/>
      <c r="G111" s="52"/>
      <c r="J111" s="17"/>
      <c r="K111" s="17"/>
      <c r="N111" s="9"/>
    </row>
    <row r="112" spans="1:14" x14ac:dyDescent="0.1">
      <c r="A112" s="39"/>
      <c r="B112" s="191"/>
      <c r="C112" s="39"/>
      <c r="D112" s="39"/>
      <c r="E112" s="39"/>
      <c r="F112" s="39"/>
      <c r="G112" s="52"/>
      <c r="J112" s="17"/>
      <c r="K112" s="17"/>
      <c r="N112" s="9"/>
    </row>
    <row r="113" spans="1:14" x14ac:dyDescent="0.1">
      <c r="A113" s="39"/>
      <c r="B113" s="191"/>
      <c r="C113" s="39"/>
      <c r="D113" s="39"/>
      <c r="E113" s="39"/>
      <c r="F113" s="39"/>
      <c r="G113" s="52"/>
      <c r="J113" s="17"/>
      <c r="K113" s="17"/>
      <c r="N113" s="9"/>
    </row>
    <row r="114" spans="1:14" x14ac:dyDescent="0.1">
      <c r="A114" s="39"/>
      <c r="B114" s="191"/>
      <c r="C114" s="39"/>
      <c r="D114" s="39"/>
      <c r="E114" s="39"/>
      <c r="F114" s="39"/>
      <c r="G114" s="52"/>
      <c r="J114" s="17"/>
      <c r="K114" s="17"/>
      <c r="N114" s="9"/>
    </row>
    <row r="115" spans="1:14" x14ac:dyDescent="0.1">
      <c r="A115" s="39"/>
      <c r="B115" s="191"/>
      <c r="C115" s="39"/>
      <c r="D115" s="39"/>
      <c r="E115" s="39"/>
      <c r="F115" s="39"/>
      <c r="G115" s="52"/>
      <c r="J115" s="17"/>
      <c r="K115" s="17"/>
      <c r="N115" s="9"/>
    </row>
    <row r="116" spans="1:14" x14ac:dyDescent="0.1">
      <c r="A116" s="39"/>
      <c r="B116" s="191"/>
      <c r="C116" s="39"/>
      <c r="D116" s="39"/>
      <c r="E116" s="39"/>
      <c r="F116" s="39"/>
      <c r="G116" s="52"/>
      <c r="J116" s="17"/>
      <c r="K116" s="17"/>
      <c r="N116" s="9"/>
    </row>
    <row r="117" spans="1:14" x14ac:dyDescent="0.1">
      <c r="A117" s="39"/>
      <c r="B117" s="191"/>
      <c r="C117" s="39"/>
      <c r="D117" s="39"/>
      <c r="E117" s="39"/>
      <c r="F117" s="39"/>
      <c r="G117" s="52"/>
      <c r="J117" s="17"/>
      <c r="K117" s="17"/>
      <c r="N117" s="9"/>
    </row>
    <row r="118" spans="1:14" x14ac:dyDescent="0.2">
      <c r="A118" s="39"/>
      <c r="B118" s="191"/>
      <c r="C118" s="39"/>
      <c r="D118" s="39"/>
      <c r="E118" s="39"/>
      <c r="F118" s="39"/>
      <c r="G118" s="35"/>
      <c r="J118" s="17"/>
      <c r="K118" s="17"/>
      <c r="N118" s="9"/>
    </row>
    <row r="119" spans="1:14" x14ac:dyDescent="0.2">
      <c r="A119" s="39"/>
      <c r="B119" s="191"/>
      <c r="C119" s="39"/>
      <c r="D119" s="39"/>
      <c r="E119" s="39"/>
      <c r="F119" s="39"/>
      <c r="G119" s="35"/>
      <c r="J119" s="17"/>
      <c r="K119" s="17"/>
      <c r="N119" s="9"/>
    </row>
    <row r="120" spans="1:14" x14ac:dyDescent="0.2">
      <c r="A120" s="39"/>
      <c r="B120" s="191"/>
      <c r="C120" s="39"/>
      <c r="D120" s="39"/>
      <c r="E120" s="39"/>
      <c r="F120" s="39"/>
      <c r="G120" s="35"/>
      <c r="J120" s="17"/>
      <c r="K120" s="17"/>
      <c r="N120" s="9"/>
    </row>
    <row r="121" spans="1:14" x14ac:dyDescent="0.2">
      <c r="A121" s="39"/>
      <c r="B121" s="191"/>
      <c r="C121" s="39"/>
      <c r="D121" s="39"/>
      <c r="E121" s="39"/>
      <c r="F121" s="39"/>
      <c r="G121" s="35"/>
      <c r="J121" s="17"/>
      <c r="K121" s="17"/>
      <c r="N121" s="9"/>
    </row>
    <row r="122" spans="1:14" x14ac:dyDescent="0.2">
      <c r="A122" s="39"/>
      <c r="B122" s="191"/>
      <c r="C122" s="39"/>
      <c r="D122" s="39"/>
      <c r="E122" s="39"/>
      <c r="F122" s="39"/>
      <c r="G122" s="35"/>
      <c r="J122" s="17"/>
      <c r="K122" s="17"/>
      <c r="N122" s="9"/>
    </row>
    <row r="123" spans="1:14" x14ac:dyDescent="0.2">
      <c r="A123" s="39"/>
      <c r="B123" s="191"/>
      <c r="C123" s="39"/>
      <c r="D123" s="39"/>
      <c r="E123" s="39"/>
      <c r="F123" s="39"/>
      <c r="G123" s="35"/>
      <c r="J123" s="17"/>
      <c r="K123" s="17"/>
      <c r="N123" s="9"/>
    </row>
    <row r="124" spans="1:14" x14ac:dyDescent="0.2">
      <c r="A124" s="39"/>
      <c r="B124" s="191"/>
      <c r="C124" s="39"/>
      <c r="D124" s="39"/>
      <c r="E124" s="39"/>
      <c r="F124" s="39"/>
      <c r="G124" s="35"/>
      <c r="J124" s="17"/>
      <c r="K124" s="17"/>
      <c r="N124" s="9"/>
    </row>
    <row r="125" spans="1:14" x14ac:dyDescent="0.2">
      <c r="A125" s="39"/>
      <c r="B125" s="191"/>
      <c r="C125" s="39"/>
      <c r="D125" s="39"/>
      <c r="E125" s="39"/>
      <c r="F125" s="39"/>
      <c r="G125" s="35"/>
      <c r="J125" s="17"/>
      <c r="K125" s="17"/>
      <c r="N125" s="9"/>
    </row>
    <row r="126" spans="1:14" x14ac:dyDescent="0.2">
      <c r="A126" s="39"/>
      <c r="B126" s="191"/>
      <c r="C126" s="39"/>
      <c r="D126" s="39"/>
      <c r="E126" s="39"/>
      <c r="F126" s="39"/>
      <c r="G126" s="35"/>
      <c r="J126" s="17"/>
      <c r="K126" s="17"/>
      <c r="N126" s="9"/>
    </row>
    <row r="127" spans="1:14" x14ac:dyDescent="0.2">
      <c r="A127" s="39"/>
      <c r="B127" s="191"/>
      <c r="C127" s="39"/>
      <c r="D127" s="39"/>
      <c r="E127" s="39"/>
      <c r="F127" s="39"/>
      <c r="G127" s="35"/>
      <c r="J127" s="17"/>
      <c r="K127" s="17"/>
      <c r="N127" s="9"/>
    </row>
    <row r="128" spans="1:14" x14ac:dyDescent="0.2">
      <c r="A128" s="39"/>
      <c r="B128" s="191"/>
      <c r="C128" s="39"/>
      <c r="D128" s="39"/>
      <c r="E128" s="39"/>
      <c r="F128" s="39"/>
      <c r="G128" s="35"/>
      <c r="J128" s="17"/>
      <c r="K128" s="17"/>
      <c r="N128" s="9"/>
    </row>
    <row r="129" spans="1:14" x14ac:dyDescent="0.2">
      <c r="A129" s="39"/>
      <c r="B129" s="191"/>
      <c r="C129" s="39"/>
      <c r="D129" s="39"/>
      <c r="E129" s="39"/>
      <c r="F129" s="39"/>
      <c r="G129" s="35"/>
      <c r="J129" s="17"/>
      <c r="K129" s="17"/>
      <c r="N129" s="9"/>
    </row>
    <row r="130" spans="1:14" x14ac:dyDescent="0.2">
      <c r="A130" s="39"/>
      <c r="B130" s="191"/>
      <c r="C130" s="39"/>
      <c r="D130" s="39"/>
      <c r="E130" s="39"/>
      <c r="F130" s="39"/>
      <c r="G130" s="35"/>
      <c r="J130" s="17"/>
      <c r="K130" s="17"/>
      <c r="N130" s="9"/>
    </row>
    <row r="131" spans="1:14" x14ac:dyDescent="0.2">
      <c r="A131" s="39"/>
      <c r="B131" s="191"/>
      <c r="C131" s="39"/>
      <c r="D131" s="39"/>
      <c r="E131" s="39"/>
      <c r="F131" s="39"/>
      <c r="G131" s="35"/>
      <c r="J131" s="17"/>
      <c r="K131" s="17"/>
      <c r="N131" s="9"/>
    </row>
    <row r="132" spans="1:14" x14ac:dyDescent="0.2">
      <c r="A132" s="39"/>
      <c r="B132" s="191"/>
      <c r="C132" s="39"/>
      <c r="D132" s="39"/>
      <c r="E132" s="39"/>
      <c r="F132" s="39"/>
      <c r="G132" s="35"/>
      <c r="J132" s="17"/>
      <c r="K132" s="17"/>
      <c r="N132" s="9"/>
    </row>
    <row r="133" spans="1:14" x14ac:dyDescent="0.2">
      <c r="A133" s="39"/>
      <c r="B133" s="191"/>
      <c r="C133" s="39"/>
      <c r="D133" s="39"/>
      <c r="E133" s="39"/>
      <c r="F133" s="39"/>
      <c r="G133" s="35"/>
      <c r="J133" s="17"/>
      <c r="K133" s="17"/>
      <c r="N133" s="9"/>
    </row>
    <row r="134" spans="1:14" x14ac:dyDescent="0.2">
      <c r="A134" s="39"/>
      <c r="B134" s="191"/>
      <c r="C134" s="39"/>
      <c r="D134" s="39"/>
      <c r="E134" s="39"/>
      <c r="F134" s="39"/>
      <c r="G134" s="35"/>
      <c r="J134" s="17"/>
      <c r="K134" s="17"/>
      <c r="N134" s="9"/>
    </row>
    <row r="135" spans="1:14" x14ac:dyDescent="0.2">
      <c r="A135" s="39"/>
      <c r="B135" s="191"/>
      <c r="C135" s="39"/>
      <c r="D135" s="39"/>
      <c r="E135" s="39"/>
      <c r="F135" s="39"/>
      <c r="G135" s="35"/>
      <c r="J135" s="17"/>
      <c r="K135" s="17"/>
      <c r="N135" s="9"/>
    </row>
    <row r="136" spans="1:14" x14ac:dyDescent="0.2">
      <c r="A136" s="39"/>
      <c r="B136" s="191"/>
      <c r="C136" s="39"/>
      <c r="D136" s="39"/>
      <c r="E136" s="39"/>
      <c r="F136" s="39"/>
      <c r="G136" s="35"/>
      <c r="J136" s="17"/>
      <c r="K136" s="17"/>
      <c r="N136" s="9"/>
    </row>
    <row r="137" spans="1:14" x14ac:dyDescent="0.2">
      <c r="A137" s="39"/>
      <c r="B137" s="191"/>
      <c r="C137" s="39"/>
      <c r="D137" s="39"/>
      <c r="E137" s="39"/>
      <c r="F137" s="39"/>
      <c r="G137" s="35"/>
      <c r="J137" s="17"/>
      <c r="K137" s="17"/>
      <c r="N137" s="9"/>
    </row>
    <row r="138" spans="1:14" x14ac:dyDescent="0.2">
      <c r="A138" s="39"/>
      <c r="B138" s="191"/>
      <c r="C138" s="39"/>
      <c r="D138" s="39"/>
      <c r="E138" s="39"/>
      <c r="F138" s="39"/>
      <c r="G138" s="35"/>
      <c r="J138" s="17"/>
      <c r="K138" s="17"/>
      <c r="N138" s="9"/>
    </row>
    <row r="139" spans="1:14" x14ac:dyDescent="0.2">
      <c r="A139" s="39"/>
      <c r="B139" s="191"/>
      <c r="C139" s="39"/>
      <c r="D139" s="39"/>
      <c r="E139" s="39"/>
      <c r="F139" s="39"/>
      <c r="G139" s="35"/>
      <c r="J139" s="17"/>
      <c r="K139" s="17"/>
      <c r="N139" s="9"/>
    </row>
    <row r="140" spans="1:14" x14ac:dyDescent="0.2">
      <c r="A140" s="39"/>
      <c r="B140" s="191"/>
      <c r="C140" s="39"/>
      <c r="D140" s="39"/>
      <c r="E140" s="39"/>
      <c r="F140" s="39"/>
      <c r="G140" s="35"/>
      <c r="J140" s="17"/>
      <c r="K140" s="17"/>
      <c r="N140" s="9"/>
    </row>
    <row r="141" spans="1:14" x14ac:dyDescent="0.2">
      <c r="A141" s="39"/>
      <c r="B141" s="191"/>
      <c r="C141" s="39"/>
      <c r="D141" s="39"/>
      <c r="E141" s="39"/>
      <c r="F141" s="39"/>
      <c r="G141" s="35"/>
      <c r="J141" s="17"/>
      <c r="K141" s="17"/>
      <c r="N141" s="9"/>
    </row>
    <row r="142" spans="1:14" x14ac:dyDescent="0.2">
      <c r="A142" s="39"/>
      <c r="B142" s="191"/>
      <c r="C142" s="39"/>
      <c r="D142" s="39"/>
      <c r="E142" s="39"/>
      <c r="F142" s="39"/>
      <c r="G142" s="35"/>
      <c r="J142" s="17"/>
      <c r="K142" s="17"/>
      <c r="N142" s="9"/>
    </row>
    <row r="143" spans="1:14" x14ac:dyDescent="0.2">
      <c r="A143" s="39"/>
      <c r="B143" s="191"/>
      <c r="C143" s="39"/>
      <c r="D143" s="39"/>
      <c r="E143" s="39"/>
      <c r="F143" s="39"/>
      <c r="G143" s="35"/>
      <c r="J143" s="17"/>
      <c r="K143" s="17"/>
      <c r="N143" s="9"/>
    </row>
    <row r="144" spans="1:14" x14ac:dyDescent="0.2">
      <c r="A144" s="39"/>
      <c r="B144" s="191"/>
      <c r="C144" s="39"/>
      <c r="D144" s="39"/>
      <c r="E144" s="39"/>
      <c r="F144" s="39"/>
      <c r="G144" s="35"/>
      <c r="J144" s="17"/>
      <c r="K144" s="17"/>
      <c r="N144" s="9"/>
    </row>
    <row r="145" spans="1:14" x14ac:dyDescent="0.2">
      <c r="A145" s="39"/>
      <c r="B145" s="191"/>
      <c r="C145" s="39"/>
      <c r="D145" s="39"/>
      <c r="E145" s="39"/>
      <c r="F145" s="39"/>
      <c r="G145" s="35"/>
      <c r="J145" s="17"/>
      <c r="K145" s="17"/>
      <c r="N145" s="9"/>
    </row>
    <row r="146" spans="1:14" x14ac:dyDescent="0.2">
      <c r="A146" s="39"/>
      <c r="B146" s="191"/>
      <c r="C146" s="39"/>
      <c r="D146" s="39"/>
      <c r="E146" s="39"/>
      <c r="F146" s="39"/>
      <c r="G146" s="35"/>
      <c r="J146" s="17"/>
      <c r="K146" s="17"/>
      <c r="N146" s="9"/>
    </row>
    <row r="147" spans="1:14" x14ac:dyDescent="0.2">
      <c r="A147" s="39"/>
      <c r="B147" s="191"/>
      <c r="C147" s="39"/>
      <c r="D147" s="39"/>
      <c r="E147" s="39"/>
      <c r="F147" s="39"/>
      <c r="G147" s="35"/>
      <c r="J147" s="17"/>
      <c r="K147" s="17"/>
      <c r="N147" s="9"/>
    </row>
    <row r="148" spans="1:14" x14ac:dyDescent="0.2">
      <c r="A148" s="39"/>
      <c r="B148" s="191"/>
      <c r="C148" s="39"/>
      <c r="D148" s="39"/>
      <c r="E148" s="39"/>
      <c r="F148" s="39"/>
      <c r="G148" s="35"/>
      <c r="J148" s="17"/>
      <c r="K148" s="17"/>
      <c r="N148" s="9"/>
    </row>
    <row r="149" spans="1:14" x14ac:dyDescent="0.2">
      <c r="A149" s="39"/>
      <c r="B149" s="191"/>
      <c r="C149" s="39"/>
      <c r="D149" s="39"/>
      <c r="E149" s="39"/>
      <c r="F149" s="39"/>
      <c r="G149" s="35"/>
      <c r="J149" s="17"/>
      <c r="K149" s="17"/>
      <c r="N149" s="9"/>
    </row>
    <row r="150" spans="1:14" x14ac:dyDescent="0.2">
      <c r="A150" s="39"/>
      <c r="B150" s="191"/>
      <c r="C150" s="39"/>
      <c r="D150" s="39"/>
      <c r="E150" s="39"/>
      <c r="F150" s="39"/>
      <c r="G150" s="35"/>
      <c r="J150" s="17"/>
      <c r="K150" s="17"/>
      <c r="N150" s="9"/>
    </row>
    <row r="151" spans="1:14" x14ac:dyDescent="0.2">
      <c r="A151" s="39"/>
      <c r="B151" s="191"/>
      <c r="C151" s="39"/>
      <c r="D151" s="39"/>
      <c r="E151" s="39"/>
      <c r="F151" s="39"/>
      <c r="G151" s="35"/>
      <c r="J151" s="17"/>
      <c r="K151" s="17"/>
      <c r="N151" s="9"/>
    </row>
    <row r="152" spans="1:14" x14ac:dyDescent="0.2">
      <c r="A152" s="39"/>
      <c r="B152" s="191"/>
      <c r="C152" s="39"/>
      <c r="D152" s="39"/>
      <c r="E152" s="39"/>
      <c r="F152" s="39"/>
      <c r="G152" s="35"/>
      <c r="J152" s="17"/>
      <c r="K152" s="17"/>
      <c r="N152" s="9"/>
    </row>
    <row r="153" spans="1:14" x14ac:dyDescent="0.2">
      <c r="A153" s="39"/>
      <c r="B153" s="191"/>
      <c r="C153" s="39"/>
      <c r="D153" s="39"/>
      <c r="E153" s="39"/>
      <c r="F153" s="39"/>
      <c r="G153" s="35"/>
      <c r="J153" s="17"/>
      <c r="K153" s="17"/>
      <c r="N153" s="9"/>
    </row>
    <row r="154" spans="1:14" x14ac:dyDescent="0.2">
      <c r="A154" s="39"/>
      <c r="B154" s="191"/>
      <c r="C154" s="39"/>
      <c r="D154" s="39"/>
      <c r="E154" s="39"/>
      <c r="F154" s="39"/>
      <c r="G154" s="35"/>
      <c r="J154" s="17"/>
      <c r="K154" s="17"/>
      <c r="N154" s="9"/>
    </row>
    <row r="155" spans="1:14" x14ac:dyDescent="0.2">
      <c r="A155" s="39"/>
      <c r="B155" s="191"/>
      <c r="C155" s="39"/>
      <c r="D155" s="39"/>
      <c r="E155" s="39"/>
      <c r="F155" s="39"/>
      <c r="G155" s="35"/>
      <c r="J155" s="17"/>
      <c r="K155" s="17"/>
      <c r="N155" s="9"/>
    </row>
    <row r="156" spans="1:14" x14ac:dyDescent="0.2">
      <c r="A156" s="39"/>
      <c r="B156" s="191"/>
      <c r="C156" s="39"/>
      <c r="D156" s="39"/>
      <c r="E156" s="39"/>
      <c r="F156" s="39"/>
      <c r="G156" s="35"/>
      <c r="J156" s="17"/>
      <c r="K156" s="17"/>
      <c r="N156" s="9"/>
    </row>
    <row r="157" spans="1:14" x14ac:dyDescent="0.2">
      <c r="A157" s="39"/>
      <c r="B157" s="191"/>
      <c r="C157" s="39"/>
      <c r="D157" s="39"/>
      <c r="E157" s="39"/>
      <c r="F157" s="39"/>
      <c r="G157" s="35"/>
      <c r="J157" s="17"/>
      <c r="K157" s="17"/>
      <c r="N157" s="9"/>
    </row>
    <row r="158" spans="1:14" x14ac:dyDescent="0.2">
      <c r="A158" s="39"/>
      <c r="B158" s="191"/>
      <c r="C158" s="39"/>
      <c r="D158" s="39"/>
      <c r="E158" s="39"/>
      <c r="F158" s="39"/>
      <c r="G158" s="35"/>
      <c r="J158" s="17"/>
      <c r="K158" s="17"/>
      <c r="N158" s="9"/>
    </row>
    <row r="159" spans="1:14" x14ac:dyDescent="0.2">
      <c r="A159" s="39"/>
      <c r="B159" s="191"/>
      <c r="C159" s="39"/>
      <c r="D159" s="39"/>
      <c r="E159" s="39"/>
      <c r="F159" s="39"/>
      <c r="G159" s="35"/>
      <c r="J159" s="17"/>
      <c r="K159" s="17"/>
      <c r="N159" s="9"/>
    </row>
    <row r="160" spans="1:14" x14ac:dyDescent="0.2">
      <c r="A160" s="39"/>
      <c r="B160" s="191"/>
      <c r="C160" s="39"/>
      <c r="D160" s="39"/>
      <c r="E160" s="39"/>
      <c r="F160" s="39"/>
      <c r="G160" s="35"/>
      <c r="J160" s="17"/>
      <c r="K160" s="17"/>
      <c r="N160" s="9"/>
    </row>
    <row r="161" spans="1:14" x14ac:dyDescent="0.2">
      <c r="A161" s="39"/>
      <c r="B161" s="191"/>
      <c r="C161" s="39"/>
      <c r="D161" s="39"/>
      <c r="E161" s="39"/>
      <c r="F161" s="39"/>
      <c r="G161" s="35"/>
      <c r="J161" s="17"/>
      <c r="K161" s="17"/>
      <c r="N161" s="9"/>
    </row>
    <row r="162" spans="1:14" x14ac:dyDescent="0.2">
      <c r="A162" s="39"/>
      <c r="B162" s="191"/>
      <c r="C162" s="39"/>
      <c r="D162" s="39"/>
      <c r="E162" s="39"/>
      <c r="F162" s="39"/>
      <c r="G162" s="35"/>
      <c r="J162" s="17"/>
      <c r="K162" s="17"/>
      <c r="N162" s="9"/>
    </row>
    <row r="163" spans="1:14" x14ac:dyDescent="0.2">
      <c r="A163" s="39"/>
      <c r="B163" s="191"/>
      <c r="C163" s="39"/>
      <c r="D163" s="39"/>
      <c r="E163" s="39"/>
      <c r="F163" s="39"/>
      <c r="G163" s="35"/>
      <c r="J163" s="17"/>
      <c r="K163" s="17"/>
      <c r="N163" s="9"/>
    </row>
    <row r="164" spans="1:14" x14ac:dyDescent="0.2">
      <c r="A164" s="39"/>
      <c r="B164" s="191"/>
      <c r="C164" s="39"/>
      <c r="D164" s="39"/>
      <c r="E164" s="39"/>
      <c r="F164" s="39"/>
      <c r="G164" s="35"/>
      <c r="J164" s="17"/>
      <c r="K164" s="17"/>
      <c r="N164" s="9"/>
    </row>
    <row r="165" spans="1:14" x14ac:dyDescent="0.2">
      <c r="A165" s="39"/>
      <c r="B165" s="191"/>
      <c r="C165" s="39"/>
      <c r="D165" s="39"/>
      <c r="E165" s="39"/>
      <c r="F165" s="39"/>
      <c r="G165" s="35"/>
      <c r="J165" s="17"/>
      <c r="K165" s="17"/>
      <c r="N165" s="9"/>
    </row>
    <row r="166" spans="1:14" x14ac:dyDescent="0.2">
      <c r="A166" s="39"/>
      <c r="B166" s="191"/>
      <c r="C166" s="39"/>
      <c r="D166" s="39"/>
      <c r="E166" s="39"/>
      <c r="F166" s="39"/>
      <c r="G166" s="35"/>
      <c r="J166" s="17"/>
      <c r="K166" s="17"/>
      <c r="N166" s="9"/>
    </row>
    <row r="167" spans="1:14" x14ac:dyDescent="0.2">
      <c r="A167" s="39"/>
      <c r="B167" s="191"/>
      <c r="C167" s="39"/>
      <c r="D167" s="39"/>
      <c r="E167" s="39"/>
      <c r="F167" s="39"/>
      <c r="G167" s="35"/>
      <c r="J167" s="17"/>
      <c r="K167" s="17"/>
      <c r="N167" s="9"/>
    </row>
    <row r="168" spans="1:14" x14ac:dyDescent="0.2">
      <c r="A168" s="39"/>
      <c r="B168" s="191"/>
      <c r="C168" s="39"/>
      <c r="D168" s="39"/>
      <c r="E168" s="39"/>
      <c r="F168" s="39"/>
      <c r="G168" s="35"/>
      <c r="J168" s="17"/>
      <c r="K168" s="17"/>
      <c r="N168" s="9"/>
    </row>
    <row r="169" spans="1:14" x14ac:dyDescent="0.2">
      <c r="A169" s="39"/>
      <c r="B169" s="191"/>
      <c r="C169" s="39"/>
      <c r="D169" s="39"/>
      <c r="E169" s="39"/>
      <c r="F169" s="39"/>
      <c r="G169" s="35"/>
      <c r="J169" s="17"/>
      <c r="K169" s="17"/>
      <c r="N169" s="9"/>
    </row>
    <row r="170" spans="1:14" x14ac:dyDescent="0.2">
      <c r="A170" s="39"/>
      <c r="B170" s="191"/>
      <c r="C170" s="39"/>
      <c r="D170" s="39"/>
      <c r="E170" s="39"/>
      <c r="F170" s="39"/>
      <c r="G170" s="9"/>
      <c r="J170" s="17"/>
      <c r="K170" s="17"/>
      <c r="N170" s="9"/>
    </row>
    <row r="171" spans="1:14" x14ac:dyDescent="0.2">
      <c r="A171" s="39"/>
      <c r="B171" s="191"/>
      <c r="C171" s="39"/>
      <c r="D171" s="39"/>
      <c r="E171" s="39"/>
      <c r="F171" s="39"/>
      <c r="G171" s="9"/>
      <c r="J171" s="17"/>
      <c r="K171" s="17"/>
      <c r="N171" s="9"/>
    </row>
    <row r="172" spans="1:14" x14ac:dyDescent="0.2">
      <c r="A172" s="39"/>
      <c r="B172" s="191"/>
      <c r="C172" s="39"/>
      <c r="D172" s="39"/>
      <c r="E172" s="39"/>
      <c r="F172" s="39"/>
      <c r="G172" s="9"/>
      <c r="J172" s="17"/>
      <c r="K172" s="17"/>
      <c r="N172" s="9"/>
    </row>
    <row r="173" spans="1:14" x14ac:dyDescent="0.2">
      <c r="A173" s="39"/>
      <c r="B173" s="191"/>
      <c r="C173" s="39"/>
      <c r="D173" s="39"/>
      <c r="E173" s="39"/>
      <c r="F173" s="39"/>
      <c r="G173" s="9"/>
      <c r="J173" s="17"/>
      <c r="K173" s="17"/>
      <c r="N173" s="9"/>
    </row>
    <row r="174" spans="1:14" x14ac:dyDescent="0.2">
      <c r="A174" s="39"/>
      <c r="B174" s="191"/>
      <c r="C174" s="39"/>
      <c r="D174" s="39"/>
      <c r="E174" s="39"/>
      <c r="F174" s="39"/>
      <c r="G174" s="9"/>
      <c r="J174" s="17"/>
      <c r="K174" s="17"/>
      <c r="N174" s="9"/>
    </row>
    <row r="175" spans="1:14" x14ac:dyDescent="0.2">
      <c r="A175" s="39"/>
      <c r="B175" s="191"/>
      <c r="C175" s="39"/>
      <c r="D175" s="39"/>
      <c r="E175" s="39"/>
      <c r="F175" s="39"/>
      <c r="G175" s="9"/>
      <c r="J175" s="17"/>
      <c r="K175" s="17"/>
      <c r="N175" s="9"/>
    </row>
    <row r="176" spans="1:14" x14ac:dyDescent="0.2">
      <c r="A176" s="39"/>
      <c r="B176" s="191"/>
      <c r="C176" s="39"/>
      <c r="D176" s="39"/>
      <c r="E176" s="39"/>
      <c r="F176" s="39"/>
      <c r="G176" s="9"/>
      <c r="J176" s="17"/>
      <c r="K176" s="17"/>
      <c r="N176" s="9"/>
    </row>
    <row r="177" spans="1:14" x14ac:dyDescent="0.2">
      <c r="A177" s="39"/>
      <c r="B177" s="191"/>
      <c r="C177" s="39"/>
      <c r="D177" s="39"/>
      <c r="E177" s="39"/>
      <c r="F177" s="39"/>
      <c r="G177" s="9"/>
      <c r="J177" s="17"/>
      <c r="K177" s="17"/>
      <c r="N177" s="9"/>
    </row>
    <row r="178" spans="1:14" x14ac:dyDescent="0.2">
      <c r="A178" s="39"/>
      <c r="B178" s="191"/>
      <c r="C178" s="39"/>
      <c r="D178" s="39"/>
      <c r="E178" s="39"/>
      <c r="F178" s="39"/>
      <c r="G178" s="9"/>
      <c r="J178" s="17"/>
      <c r="K178" s="17"/>
      <c r="N178" s="9"/>
    </row>
    <row r="179" spans="1:14" x14ac:dyDescent="0.2">
      <c r="A179" s="39"/>
      <c r="B179" s="191"/>
      <c r="C179" s="39"/>
      <c r="D179" s="39"/>
      <c r="E179" s="39"/>
      <c r="F179" s="39"/>
      <c r="G179" s="9"/>
      <c r="J179" s="17"/>
      <c r="K179" s="17"/>
      <c r="N179" s="9"/>
    </row>
    <row r="180" spans="1:14" x14ac:dyDescent="0.2">
      <c r="A180" s="39"/>
      <c r="B180" s="191"/>
      <c r="C180" s="39"/>
      <c r="D180" s="39"/>
      <c r="E180" s="39"/>
      <c r="F180" s="39"/>
      <c r="G180" s="9"/>
      <c r="J180" s="17"/>
      <c r="K180" s="17"/>
      <c r="N180" s="9"/>
    </row>
    <row r="181" spans="1:14" x14ac:dyDescent="0.2">
      <c r="A181" s="39"/>
      <c r="B181" s="191"/>
      <c r="C181" s="39"/>
      <c r="D181" s="39"/>
      <c r="E181" s="39"/>
      <c r="F181" s="39"/>
      <c r="G181" s="9"/>
      <c r="J181" s="17"/>
      <c r="K181" s="17"/>
      <c r="N181" s="9"/>
    </row>
    <row r="182" spans="1:14" x14ac:dyDescent="0.2">
      <c r="A182" s="39"/>
      <c r="B182" s="191"/>
      <c r="C182" s="39"/>
      <c r="D182" s="39"/>
      <c r="E182" s="39"/>
      <c r="F182" s="39"/>
      <c r="G182" s="9"/>
      <c r="J182" s="17"/>
      <c r="K182" s="17"/>
      <c r="N182" s="9"/>
    </row>
    <row r="183" spans="1:14" x14ac:dyDescent="0.2">
      <c r="A183" s="39"/>
      <c r="B183" s="191"/>
      <c r="C183" s="39"/>
      <c r="D183" s="39"/>
      <c r="E183" s="39"/>
      <c r="F183" s="39"/>
      <c r="G183" s="9"/>
      <c r="J183" s="17"/>
      <c r="K183" s="17"/>
      <c r="N183" s="9"/>
    </row>
    <row r="184" spans="1:14" x14ac:dyDescent="0.2">
      <c r="A184" s="39"/>
      <c r="B184" s="191"/>
      <c r="C184" s="39"/>
      <c r="D184" s="39"/>
      <c r="E184" s="39"/>
      <c r="F184" s="39"/>
      <c r="G184" s="9"/>
      <c r="J184" s="17"/>
      <c r="K184" s="17"/>
      <c r="N184" s="9"/>
    </row>
    <row r="185" spans="1:14" x14ac:dyDescent="0.2">
      <c r="A185" s="39"/>
      <c r="B185" s="191"/>
      <c r="C185" s="39"/>
      <c r="D185" s="39"/>
      <c r="E185" s="39"/>
      <c r="F185" s="39"/>
      <c r="G185" s="9"/>
      <c r="J185" s="17"/>
      <c r="K185" s="17"/>
      <c r="N185" s="9"/>
    </row>
    <row r="186" spans="1:14" x14ac:dyDescent="0.2">
      <c r="A186" s="39"/>
      <c r="B186" s="191"/>
      <c r="C186" s="39"/>
      <c r="D186" s="39"/>
      <c r="E186" s="39"/>
      <c r="F186" s="39"/>
      <c r="G186" s="9"/>
      <c r="J186" s="17"/>
      <c r="K186" s="17"/>
      <c r="N186" s="9"/>
    </row>
    <row r="187" spans="1:14" x14ac:dyDescent="0.2">
      <c r="A187" s="39"/>
      <c r="B187" s="191"/>
      <c r="C187" s="39"/>
      <c r="D187" s="39"/>
      <c r="E187" s="39"/>
      <c r="F187" s="39"/>
      <c r="G187" s="9"/>
      <c r="J187" s="17"/>
      <c r="K187" s="17"/>
      <c r="N187" s="9"/>
    </row>
    <row r="188" spans="1:14" x14ac:dyDescent="0.2">
      <c r="A188" s="39"/>
      <c r="B188" s="191"/>
      <c r="C188" s="39"/>
      <c r="D188" s="39"/>
      <c r="E188" s="39"/>
      <c r="F188" s="39"/>
      <c r="G188" s="9"/>
      <c r="J188" s="17"/>
      <c r="K188" s="17"/>
      <c r="N188" s="9"/>
    </row>
    <row r="189" spans="1:14" x14ac:dyDescent="0.2">
      <c r="A189" s="39"/>
      <c r="B189" s="191"/>
      <c r="C189" s="39"/>
      <c r="D189" s="39"/>
      <c r="E189" s="39"/>
      <c r="F189" s="39"/>
      <c r="G189" s="9"/>
      <c r="J189" s="17"/>
      <c r="K189" s="17"/>
      <c r="N189" s="9"/>
    </row>
    <row r="190" spans="1:14" x14ac:dyDescent="0.2">
      <c r="A190" s="39"/>
      <c r="B190" s="191"/>
      <c r="C190" s="39"/>
      <c r="D190" s="39"/>
      <c r="E190" s="39"/>
      <c r="F190" s="39"/>
      <c r="G190" s="9"/>
      <c r="J190" s="17"/>
      <c r="K190" s="17"/>
      <c r="N190" s="9"/>
    </row>
    <row r="191" spans="1:14" x14ac:dyDescent="0.2">
      <c r="A191" s="39"/>
      <c r="B191" s="191"/>
      <c r="C191" s="39"/>
      <c r="D191" s="39"/>
      <c r="E191" s="39"/>
      <c r="F191" s="39"/>
      <c r="G191" s="9"/>
      <c r="J191" s="17"/>
      <c r="K191" s="17"/>
      <c r="N191" s="9"/>
    </row>
    <row r="192" spans="1:14" x14ac:dyDescent="0.2">
      <c r="A192" s="39"/>
      <c r="B192" s="191"/>
      <c r="C192" s="39"/>
      <c r="D192" s="39"/>
      <c r="E192" s="39"/>
      <c r="F192" s="39"/>
      <c r="G192" s="9"/>
      <c r="J192" s="17"/>
      <c r="K192" s="17"/>
      <c r="N192" s="9"/>
    </row>
    <row r="193" spans="1:14" x14ac:dyDescent="0.2">
      <c r="A193" s="39"/>
      <c r="B193" s="191"/>
      <c r="C193" s="39"/>
      <c r="D193" s="39"/>
      <c r="E193" s="39"/>
      <c r="F193" s="39"/>
      <c r="G193" s="9"/>
      <c r="J193" s="17"/>
      <c r="K193" s="17"/>
      <c r="N193" s="9"/>
    </row>
    <row r="194" spans="1:14" x14ac:dyDescent="0.2">
      <c r="A194" s="39"/>
      <c r="B194" s="191"/>
      <c r="C194" s="39"/>
      <c r="D194" s="39"/>
      <c r="E194" s="39"/>
      <c r="F194" s="39"/>
      <c r="G194" s="9"/>
      <c r="J194" s="17"/>
      <c r="K194" s="17"/>
      <c r="N194" s="9"/>
    </row>
    <row r="195" spans="1:14" x14ac:dyDescent="0.2">
      <c r="A195" s="39"/>
      <c r="B195" s="191"/>
      <c r="C195" s="39"/>
      <c r="D195" s="39"/>
      <c r="E195" s="39"/>
      <c r="F195" s="39"/>
      <c r="G195" s="9"/>
      <c r="J195" s="17"/>
      <c r="K195" s="17"/>
      <c r="N195" s="9"/>
    </row>
    <row r="196" spans="1:14" x14ac:dyDescent="0.2">
      <c r="A196" s="39"/>
      <c r="B196" s="191"/>
      <c r="C196" s="39"/>
      <c r="D196" s="39"/>
      <c r="E196" s="39"/>
      <c r="F196" s="39"/>
      <c r="G196" s="9"/>
      <c r="J196" s="17"/>
      <c r="K196" s="17"/>
      <c r="N196" s="9"/>
    </row>
    <row r="197" spans="1:14" x14ac:dyDescent="0.2">
      <c r="A197" s="39"/>
      <c r="B197" s="191"/>
      <c r="C197" s="39"/>
      <c r="D197" s="39"/>
      <c r="E197" s="39"/>
      <c r="F197" s="39"/>
      <c r="G197" s="9"/>
      <c r="J197" s="17"/>
      <c r="K197" s="17"/>
      <c r="N197" s="9"/>
    </row>
    <row r="198" spans="1:14" x14ac:dyDescent="0.2">
      <c r="A198" s="39"/>
      <c r="B198" s="191"/>
      <c r="C198" s="39"/>
      <c r="D198" s="39"/>
      <c r="E198" s="39"/>
      <c r="F198" s="39"/>
      <c r="G198" s="9"/>
      <c r="J198" s="17"/>
      <c r="K198" s="17"/>
      <c r="N198" s="9"/>
    </row>
    <row r="199" spans="1:14" x14ac:dyDescent="0.2">
      <c r="A199" s="39"/>
      <c r="B199" s="191"/>
      <c r="C199" s="39"/>
      <c r="D199" s="39"/>
      <c r="E199" s="39"/>
      <c r="F199" s="39"/>
      <c r="G199" s="9"/>
      <c r="J199" s="17"/>
      <c r="K199" s="17"/>
      <c r="N199" s="9"/>
    </row>
    <row r="200" spans="1:14" x14ac:dyDescent="0.2">
      <c r="A200" s="39"/>
      <c r="B200" s="191"/>
      <c r="C200" s="39"/>
      <c r="D200" s="39"/>
      <c r="E200" s="39"/>
      <c r="F200" s="39"/>
      <c r="G200" s="9"/>
      <c r="J200" s="17"/>
      <c r="K200" s="17"/>
      <c r="N200" s="9"/>
    </row>
    <row r="201" spans="1:14" x14ac:dyDescent="0.2">
      <c r="A201" s="39"/>
      <c r="B201" s="191"/>
      <c r="C201" s="39"/>
      <c r="D201" s="39"/>
      <c r="E201" s="39"/>
      <c r="F201" s="39"/>
      <c r="G201" s="9"/>
      <c r="J201" s="17"/>
      <c r="K201" s="17"/>
      <c r="N201" s="9"/>
    </row>
    <row r="202" spans="1:14" x14ac:dyDescent="0.2">
      <c r="A202" s="39"/>
      <c r="B202" s="191"/>
      <c r="C202" s="39"/>
      <c r="D202" s="39"/>
      <c r="E202" s="39"/>
      <c r="F202" s="39"/>
      <c r="G202" s="9"/>
      <c r="J202" s="17"/>
      <c r="K202" s="17"/>
      <c r="N202" s="9"/>
    </row>
    <row r="203" spans="1:14" x14ac:dyDescent="0.2">
      <c r="A203" s="39"/>
      <c r="B203" s="191"/>
      <c r="C203" s="39"/>
      <c r="D203" s="39"/>
      <c r="E203" s="39"/>
      <c r="F203" s="39"/>
      <c r="G203" s="9"/>
      <c r="J203" s="17"/>
      <c r="K203" s="17"/>
      <c r="N203" s="9"/>
    </row>
    <row r="204" spans="1:14" x14ac:dyDescent="0.2">
      <c r="A204" s="39"/>
      <c r="B204" s="191"/>
      <c r="C204" s="39"/>
      <c r="D204" s="39"/>
      <c r="E204" s="39"/>
      <c r="F204" s="39"/>
      <c r="G204" s="9"/>
      <c r="J204" s="17"/>
      <c r="K204" s="17"/>
      <c r="N204" s="9"/>
    </row>
    <row r="205" spans="1:14" x14ac:dyDescent="0.2">
      <c r="A205" s="39"/>
      <c r="B205" s="191"/>
      <c r="C205" s="39"/>
      <c r="D205" s="39"/>
      <c r="E205" s="39"/>
      <c r="F205" s="39"/>
      <c r="G205" s="9"/>
      <c r="J205" s="17"/>
      <c r="K205" s="17"/>
      <c r="N205" s="9"/>
    </row>
    <row r="206" spans="1:14" x14ac:dyDescent="0.2">
      <c r="A206" s="39"/>
      <c r="B206" s="191"/>
      <c r="C206" s="39"/>
      <c r="D206" s="39"/>
      <c r="E206" s="39"/>
      <c r="F206" s="39"/>
      <c r="G206" s="9"/>
      <c r="J206" s="17"/>
      <c r="K206" s="17"/>
      <c r="N206" s="9"/>
    </row>
    <row r="207" spans="1:14" x14ac:dyDescent="0.2">
      <c r="A207" s="39"/>
      <c r="B207" s="191"/>
      <c r="C207" s="39"/>
      <c r="D207" s="39"/>
      <c r="E207" s="39"/>
      <c r="F207" s="39"/>
      <c r="G207" s="9"/>
      <c r="J207" s="17"/>
      <c r="K207" s="17"/>
      <c r="N207" s="9"/>
    </row>
    <row r="208" spans="1:14" x14ac:dyDescent="0.2">
      <c r="A208" s="39"/>
      <c r="B208" s="191"/>
      <c r="C208" s="39"/>
      <c r="D208" s="39"/>
      <c r="E208" s="39"/>
      <c r="F208" s="39"/>
      <c r="G208" s="9"/>
      <c r="J208" s="17"/>
      <c r="K208" s="17"/>
      <c r="N208" s="9"/>
    </row>
    <row r="209" spans="1:14" x14ac:dyDescent="0.2">
      <c r="A209" s="39"/>
      <c r="B209" s="191"/>
      <c r="C209" s="39"/>
      <c r="D209" s="39"/>
      <c r="E209" s="39"/>
      <c r="F209" s="39"/>
      <c r="G209" s="9"/>
      <c r="J209" s="17"/>
      <c r="K209" s="17"/>
      <c r="N209" s="9"/>
    </row>
    <row r="210" spans="1:14" x14ac:dyDescent="0.2">
      <c r="A210" s="39"/>
      <c r="B210" s="191"/>
      <c r="C210" s="39"/>
      <c r="D210" s="39"/>
      <c r="E210" s="39"/>
      <c r="F210" s="39"/>
      <c r="G210" s="9"/>
      <c r="J210" s="17"/>
      <c r="K210" s="17"/>
      <c r="N210" s="9"/>
    </row>
    <row r="211" spans="1:14" x14ac:dyDescent="0.2">
      <c r="A211" s="39"/>
      <c r="B211" s="191"/>
      <c r="C211" s="39"/>
      <c r="D211" s="39"/>
      <c r="E211" s="39"/>
      <c r="F211" s="39"/>
      <c r="G211" s="9"/>
      <c r="J211" s="17"/>
      <c r="K211" s="17"/>
      <c r="N211" s="9"/>
    </row>
    <row r="212" spans="1:14" x14ac:dyDescent="0.2">
      <c r="A212" s="39"/>
      <c r="B212" s="191"/>
      <c r="C212" s="39"/>
      <c r="D212" s="39"/>
      <c r="E212" s="39"/>
      <c r="F212" s="39"/>
      <c r="G212" s="9"/>
      <c r="J212" s="17"/>
      <c r="K212" s="17"/>
      <c r="N212" s="9"/>
    </row>
    <row r="213" spans="1:14" x14ac:dyDescent="0.2">
      <c r="A213" s="39"/>
      <c r="B213" s="191"/>
      <c r="C213" s="39"/>
      <c r="D213" s="39"/>
      <c r="E213" s="39"/>
      <c r="F213" s="39"/>
      <c r="G213" s="9"/>
      <c r="J213" s="17"/>
      <c r="K213" s="17"/>
      <c r="N213" s="9"/>
    </row>
    <row r="214" spans="1:14" x14ac:dyDescent="0.2">
      <c r="A214" s="39"/>
      <c r="B214" s="191"/>
      <c r="C214" s="39"/>
      <c r="D214" s="39"/>
      <c r="E214" s="39"/>
      <c r="F214" s="39"/>
      <c r="G214" s="9"/>
      <c r="J214" s="17"/>
      <c r="K214" s="17"/>
      <c r="N214" s="9"/>
    </row>
    <row r="215" spans="1:14" x14ac:dyDescent="0.2">
      <c r="A215" s="39"/>
      <c r="B215" s="191"/>
      <c r="C215" s="39"/>
      <c r="D215" s="39"/>
      <c r="E215" s="39"/>
      <c r="F215" s="39"/>
      <c r="G215" s="9"/>
      <c r="J215" s="17"/>
      <c r="K215" s="17"/>
      <c r="N215" s="9"/>
    </row>
    <row r="216" spans="1:14" x14ac:dyDescent="0.2">
      <c r="A216" s="39"/>
      <c r="B216" s="191"/>
      <c r="C216" s="39"/>
      <c r="D216" s="39"/>
      <c r="E216" s="39"/>
      <c r="F216" s="39"/>
      <c r="G216" s="9"/>
      <c r="J216" s="17"/>
      <c r="K216" s="17"/>
      <c r="N216" s="9"/>
    </row>
    <row r="217" spans="1:14" x14ac:dyDescent="0.2">
      <c r="A217" s="39"/>
      <c r="B217" s="191"/>
      <c r="C217" s="39"/>
      <c r="D217" s="39"/>
      <c r="E217" s="39"/>
      <c r="F217" s="39"/>
      <c r="G217" s="9"/>
      <c r="J217" s="17"/>
      <c r="K217" s="17"/>
      <c r="N217" s="9"/>
    </row>
    <row r="218" spans="1:14" x14ac:dyDescent="0.2">
      <c r="A218" s="39"/>
      <c r="B218" s="191"/>
      <c r="C218" s="39"/>
      <c r="D218" s="39"/>
      <c r="E218" s="39"/>
      <c r="F218" s="39"/>
      <c r="G218" s="9"/>
      <c r="J218" s="17"/>
      <c r="K218" s="17"/>
      <c r="N218" s="9"/>
    </row>
    <row r="219" spans="1:14" x14ac:dyDescent="0.2">
      <c r="A219" s="39"/>
      <c r="B219" s="191"/>
      <c r="C219" s="39"/>
      <c r="D219" s="39"/>
      <c r="E219" s="39"/>
      <c r="F219" s="39"/>
      <c r="G219" s="9"/>
      <c r="J219" s="17"/>
      <c r="K219" s="17"/>
      <c r="N219" s="9"/>
    </row>
    <row r="220" spans="1:14" x14ac:dyDescent="0.2">
      <c r="A220" s="39"/>
      <c r="B220" s="191"/>
      <c r="C220" s="39"/>
      <c r="D220" s="39"/>
      <c r="E220" s="39"/>
      <c r="F220" s="39"/>
      <c r="G220" s="9"/>
      <c r="J220" s="17"/>
      <c r="K220" s="17"/>
      <c r="N220" s="9"/>
    </row>
    <row r="221" spans="1:14" x14ac:dyDescent="0.2">
      <c r="A221" s="39"/>
      <c r="B221" s="191"/>
      <c r="C221" s="39"/>
      <c r="D221" s="39"/>
      <c r="E221" s="39"/>
      <c r="F221" s="39"/>
      <c r="G221" s="9"/>
      <c r="J221" s="17"/>
      <c r="K221" s="17"/>
      <c r="N221" s="9"/>
    </row>
    <row r="222" spans="1:14" x14ac:dyDescent="0.2">
      <c r="A222" s="39"/>
      <c r="B222" s="191"/>
      <c r="C222" s="39"/>
      <c r="D222" s="39"/>
      <c r="E222" s="39"/>
      <c r="F222" s="39"/>
      <c r="G222" s="9"/>
      <c r="J222" s="17"/>
      <c r="K222" s="17"/>
      <c r="N222" s="9"/>
    </row>
    <row r="223" spans="1:14" x14ac:dyDescent="0.2">
      <c r="A223" s="39"/>
      <c r="B223" s="191"/>
      <c r="C223" s="39"/>
      <c r="D223" s="39"/>
      <c r="E223" s="39"/>
      <c r="F223" s="39"/>
      <c r="G223" s="9"/>
      <c r="J223" s="17"/>
      <c r="K223" s="17"/>
      <c r="N223" s="9"/>
    </row>
    <row r="224" spans="1:14" x14ac:dyDescent="0.2">
      <c r="A224" s="39"/>
      <c r="B224" s="191"/>
      <c r="C224" s="39"/>
      <c r="D224" s="39"/>
      <c r="E224" s="39"/>
      <c r="F224" s="39"/>
      <c r="G224" s="9"/>
      <c r="J224" s="17"/>
      <c r="K224" s="17"/>
      <c r="N224" s="9"/>
    </row>
    <row r="225" spans="1:14" x14ac:dyDescent="0.2">
      <c r="A225" s="39"/>
      <c r="B225" s="191"/>
      <c r="C225" s="39"/>
      <c r="D225" s="39"/>
      <c r="E225" s="39"/>
      <c r="F225" s="39"/>
      <c r="G225" s="9"/>
      <c r="J225" s="17"/>
      <c r="K225" s="17"/>
      <c r="N225" s="9"/>
    </row>
    <row r="226" spans="1:14" x14ac:dyDescent="0.2">
      <c r="A226" s="39"/>
      <c r="B226" s="191"/>
      <c r="C226" s="39"/>
      <c r="D226" s="39"/>
      <c r="E226" s="39"/>
      <c r="F226" s="39"/>
      <c r="G226" s="9"/>
      <c r="J226" s="17"/>
      <c r="K226" s="17"/>
      <c r="N226" s="9"/>
    </row>
    <row r="227" spans="1:14" x14ac:dyDescent="0.2">
      <c r="A227" s="39"/>
      <c r="B227" s="191"/>
      <c r="C227" s="39"/>
      <c r="D227" s="39"/>
      <c r="E227" s="39"/>
      <c r="F227" s="39"/>
      <c r="G227" s="9"/>
      <c r="J227" s="17"/>
      <c r="K227" s="17"/>
      <c r="N227" s="9"/>
    </row>
    <row r="228" spans="1:14" x14ac:dyDescent="0.2">
      <c r="A228" s="39"/>
      <c r="B228" s="191"/>
      <c r="C228" s="39"/>
      <c r="D228" s="39"/>
      <c r="E228" s="39"/>
      <c r="F228" s="39"/>
      <c r="G228" s="9"/>
      <c r="J228" s="17"/>
      <c r="K228" s="17"/>
      <c r="N228" s="9"/>
    </row>
    <row r="229" spans="1:14" x14ac:dyDescent="0.2">
      <c r="A229" s="39"/>
      <c r="B229" s="191"/>
      <c r="C229" s="39"/>
      <c r="D229" s="39"/>
      <c r="E229" s="39"/>
      <c r="F229" s="39"/>
      <c r="G229" s="9"/>
      <c r="J229" s="17"/>
      <c r="K229" s="17"/>
      <c r="N229" s="9"/>
    </row>
    <row r="230" spans="1:14" x14ac:dyDescent="0.2">
      <c r="A230" s="39"/>
      <c r="B230" s="191"/>
      <c r="C230" s="39"/>
      <c r="D230" s="39"/>
      <c r="E230" s="39"/>
      <c r="F230" s="39"/>
      <c r="G230" s="9"/>
      <c r="J230" s="17"/>
      <c r="K230" s="17"/>
      <c r="N230" s="9"/>
    </row>
    <row r="231" spans="1:14" x14ac:dyDescent="0.2">
      <c r="A231" s="39"/>
      <c r="B231" s="191"/>
      <c r="C231" s="39"/>
      <c r="D231" s="39"/>
      <c r="E231" s="39"/>
      <c r="F231" s="39"/>
      <c r="G231" s="9"/>
      <c r="J231" s="17"/>
      <c r="K231" s="17"/>
      <c r="N231" s="9"/>
    </row>
    <row r="232" spans="1:14" x14ac:dyDescent="0.2">
      <c r="A232" s="39"/>
      <c r="B232" s="191"/>
      <c r="C232" s="39"/>
      <c r="D232" s="39"/>
      <c r="E232" s="39"/>
      <c r="F232" s="39"/>
      <c r="G232" s="9"/>
      <c r="J232" s="17"/>
      <c r="K232" s="17"/>
      <c r="N232" s="9"/>
    </row>
    <row r="233" spans="1:14" x14ac:dyDescent="0.2">
      <c r="A233" s="39"/>
      <c r="B233" s="191"/>
      <c r="C233" s="39"/>
      <c r="D233" s="39"/>
      <c r="E233" s="39"/>
      <c r="F233" s="39"/>
      <c r="G233" s="9"/>
      <c r="J233" s="17"/>
      <c r="K233" s="17"/>
      <c r="N233" s="9"/>
    </row>
    <row r="234" spans="1:14" x14ac:dyDescent="0.2">
      <c r="A234" s="39"/>
      <c r="B234" s="191"/>
      <c r="C234" s="39"/>
      <c r="D234" s="39"/>
      <c r="E234" s="39"/>
      <c r="F234" s="39"/>
      <c r="G234" s="9"/>
      <c r="J234" s="17"/>
      <c r="K234" s="17"/>
      <c r="N234" s="9"/>
    </row>
    <row r="235" spans="1:14" x14ac:dyDescent="0.2">
      <c r="A235" s="39"/>
      <c r="B235" s="191"/>
      <c r="C235" s="39"/>
      <c r="D235" s="39"/>
      <c r="E235" s="39"/>
      <c r="F235" s="39"/>
      <c r="G235" s="9"/>
      <c r="J235" s="17"/>
      <c r="K235" s="17"/>
      <c r="N235" s="9"/>
    </row>
    <row r="236" spans="1:14" x14ac:dyDescent="0.2">
      <c r="A236" s="39"/>
      <c r="B236" s="191"/>
      <c r="C236" s="39"/>
      <c r="D236" s="39"/>
      <c r="E236" s="39"/>
      <c r="F236" s="39"/>
      <c r="G236" s="9"/>
      <c r="J236" s="17"/>
      <c r="K236" s="17"/>
      <c r="N236" s="9"/>
    </row>
    <row r="237" spans="1:14" x14ac:dyDescent="0.2">
      <c r="A237" s="39"/>
      <c r="B237" s="191"/>
      <c r="C237" s="39"/>
      <c r="D237" s="39"/>
      <c r="E237" s="39"/>
      <c r="F237" s="39"/>
      <c r="G237" s="9"/>
      <c r="J237" s="17"/>
      <c r="K237" s="17"/>
      <c r="N237" s="9"/>
    </row>
    <row r="238" spans="1:14" x14ac:dyDescent="0.2">
      <c r="A238" s="39"/>
      <c r="B238" s="191"/>
      <c r="C238" s="39"/>
      <c r="D238" s="39"/>
      <c r="E238" s="39"/>
      <c r="F238" s="39"/>
      <c r="G238" s="9"/>
      <c r="J238" s="17"/>
      <c r="K238" s="17"/>
      <c r="N238" s="9"/>
    </row>
    <row r="239" spans="1:14" x14ac:dyDescent="0.2">
      <c r="A239" s="39"/>
      <c r="B239" s="191"/>
      <c r="C239" s="39"/>
      <c r="D239" s="39"/>
      <c r="E239" s="39"/>
      <c r="F239" s="39"/>
      <c r="G239" s="9"/>
      <c r="J239" s="17"/>
      <c r="K239" s="17"/>
      <c r="N239" s="9"/>
    </row>
    <row r="240" spans="1:14" x14ac:dyDescent="0.2">
      <c r="A240" s="39"/>
      <c r="B240" s="191"/>
      <c r="C240" s="39"/>
      <c r="D240" s="39"/>
      <c r="E240" s="39"/>
      <c r="F240" s="39"/>
      <c r="G240" s="9"/>
      <c r="J240" s="17"/>
      <c r="K240" s="17"/>
      <c r="N240" s="9"/>
    </row>
    <row r="241" spans="1:14" x14ac:dyDescent="0.2">
      <c r="A241" s="39"/>
      <c r="B241" s="191"/>
      <c r="C241" s="39"/>
      <c r="D241" s="39"/>
      <c r="E241" s="39"/>
      <c r="F241" s="39"/>
      <c r="G241" s="9"/>
      <c r="J241" s="17"/>
      <c r="K241" s="17"/>
      <c r="N241" s="9"/>
    </row>
    <row r="242" spans="1:14" x14ac:dyDescent="0.2">
      <c r="A242" s="39"/>
      <c r="B242" s="191"/>
      <c r="C242" s="39"/>
      <c r="D242" s="39"/>
      <c r="E242" s="39"/>
      <c r="F242" s="39"/>
      <c r="G242" s="9"/>
      <c r="J242" s="17"/>
      <c r="K242" s="17"/>
      <c r="N242" s="9"/>
    </row>
    <row r="243" spans="1:14" x14ac:dyDescent="0.2">
      <c r="A243" s="39"/>
      <c r="B243" s="191"/>
      <c r="C243" s="39"/>
      <c r="D243" s="39"/>
      <c r="E243" s="39"/>
      <c r="F243" s="39"/>
      <c r="G243" s="9"/>
      <c r="J243" s="17"/>
      <c r="K243" s="17"/>
      <c r="N243" s="9"/>
    </row>
    <row r="244" spans="1:14" x14ac:dyDescent="0.2">
      <c r="A244" s="39"/>
      <c r="B244" s="191"/>
      <c r="C244" s="39"/>
      <c r="D244" s="39"/>
      <c r="E244" s="39"/>
      <c r="F244" s="39"/>
      <c r="G244" s="9"/>
      <c r="J244" s="17"/>
      <c r="K244" s="17"/>
      <c r="N244" s="9"/>
    </row>
    <row r="245" spans="1:14" x14ac:dyDescent="0.2">
      <c r="A245" s="39"/>
      <c r="B245" s="191"/>
      <c r="C245" s="39"/>
      <c r="D245" s="39"/>
      <c r="E245" s="39"/>
      <c r="F245" s="39"/>
      <c r="G245" s="9"/>
      <c r="J245" s="17"/>
      <c r="K245" s="17"/>
      <c r="N245" s="9"/>
    </row>
    <row r="246" spans="1:14" x14ac:dyDescent="0.2">
      <c r="A246" s="39"/>
      <c r="B246" s="191"/>
      <c r="C246" s="39"/>
      <c r="D246" s="39"/>
      <c r="E246" s="39"/>
      <c r="F246" s="39"/>
      <c r="G246" s="9"/>
      <c r="J246" s="17"/>
      <c r="K246" s="17"/>
      <c r="N246" s="9"/>
    </row>
    <row r="247" spans="1:14" x14ac:dyDescent="0.2">
      <c r="A247" s="39"/>
      <c r="B247" s="191"/>
      <c r="C247" s="39"/>
      <c r="D247" s="39"/>
      <c r="E247" s="39"/>
      <c r="F247" s="39"/>
      <c r="G247" s="9"/>
      <c r="J247" s="17"/>
      <c r="K247" s="17"/>
      <c r="N247" s="9"/>
    </row>
    <row r="248" spans="1:14" x14ac:dyDescent="0.2">
      <c r="A248" s="39"/>
      <c r="B248" s="191"/>
      <c r="C248" s="39"/>
      <c r="D248" s="39"/>
      <c r="E248" s="39"/>
      <c r="F248" s="39"/>
      <c r="G248" s="9"/>
      <c r="J248" s="17"/>
      <c r="K248" s="17"/>
      <c r="N248" s="9"/>
    </row>
    <row r="249" spans="1:14" x14ac:dyDescent="0.2">
      <c r="A249" s="39"/>
      <c r="B249" s="191"/>
      <c r="C249" s="39"/>
      <c r="D249" s="39"/>
      <c r="E249" s="39"/>
      <c r="F249" s="39"/>
      <c r="G249" s="9"/>
      <c r="J249" s="17"/>
      <c r="K249" s="17"/>
      <c r="N249" s="9"/>
    </row>
    <row r="250" spans="1:14" x14ac:dyDescent="0.2">
      <c r="A250" s="39"/>
      <c r="B250" s="191"/>
      <c r="C250" s="39"/>
      <c r="D250" s="39"/>
      <c r="E250" s="39"/>
      <c r="F250" s="39"/>
      <c r="G250" s="9"/>
      <c r="J250" s="17"/>
      <c r="K250" s="17"/>
      <c r="N250" s="9"/>
    </row>
    <row r="251" spans="1:14" x14ac:dyDescent="0.2">
      <c r="A251" s="39"/>
      <c r="B251" s="191"/>
      <c r="C251" s="39"/>
      <c r="D251" s="39"/>
      <c r="E251" s="39"/>
      <c r="F251" s="39"/>
      <c r="G251" s="9"/>
      <c r="J251" s="17"/>
      <c r="K251" s="17"/>
      <c r="N251" s="9"/>
    </row>
    <row r="252" spans="1:14" x14ac:dyDescent="0.2">
      <c r="A252" s="39"/>
      <c r="B252" s="191"/>
      <c r="C252" s="39"/>
      <c r="D252" s="39"/>
      <c r="E252" s="39"/>
      <c r="F252" s="39"/>
      <c r="G252" s="9"/>
      <c r="J252" s="17"/>
      <c r="K252" s="17"/>
      <c r="N252" s="9"/>
    </row>
    <row r="253" spans="1:14" x14ac:dyDescent="0.2">
      <c r="A253" s="39"/>
      <c r="B253" s="191"/>
      <c r="C253" s="39"/>
      <c r="D253" s="39"/>
      <c r="E253" s="39"/>
      <c r="F253" s="39"/>
      <c r="G253" s="9"/>
      <c r="J253" s="17"/>
      <c r="K253" s="17"/>
      <c r="N253" s="9"/>
    </row>
    <row r="254" spans="1:14" x14ac:dyDescent="0.2">
      <c r="A254" s="39"/>
      <c r="B254" s="191"/>
      <c r="C254" s="39"/>
      <c r="D254" s="39"/>
      <c r="E254" s="39"/>
      <c r="F254" s="39"/>
      <c r="G254" s="9"/>
      <c r="J254" s="17"/>
      <c r="K254" s="17"/>
      <c r="N254" s="9"/>
    </row>
    <row r="255" spans="1:14" x14ac:dyDescent="0.2">
      <c r="A255" s="39"/>
      <c r="B255" s="191"/>
      <c r="C255" s="39"/>
      <c r="D255" s="39"/>
      <c r="E255" s="39"/>
      <c r="F255" s="39"/>
      <c r="G255" s="9"/>
      <c r="J255" s="17"/>
      <c r="K255" s="17"/>
      <c r="N255" s="9"/>
    </row>
    <row r="256" spans="1:14" x14ac:dyDescent="0.2">
      <c r="A256" s="39"/>
      <c r="B256" s="191"/>
      <c r="C256" s="39"/>
      <c r="D256" s="39"/>
      <c r="E256" s="39"/>
      <c r="F256" s="39"/>
      <c r="G256" s="9"/>
      <c r="J256" s="17"/>
      <c r="K256" s="17"/>
      <c r="N256" s="9"/>
    </row>
    <row r="257" spans="1:14" x14ac:dyDescent="0.2">
      <c r="A257" s="39"/>
      <c r="B257" s="191"/>
      <c r="C257" s="39"/>
      <c r="D257" s="39"/>
      <c r="E257" s="39"/>
      <c r="F257" s="39"/>
      <c r="G257" s="9"/>
      <c r="J257" s="17"/>
      <c r="K257" s="17"/>
      <c r="N257" s="9"/>
    </row>
    <row r="258" spans="1:14" x14ac:dyDescent="0.2">
      <c r="A258" s="39"/>
      <c r="B258" s="191"/>
      <c r="C258" s="39"/>
      <c r="D258" s="39"/>
      <c r="E258" s="39"/>
      <c r="F258" s="39"/>
      <c r="G258" s="9"/>
      <c r="J258" s="17"/>
      <c r="K258" s="17"/>
      <c r="N258" s="9"/>
    </row>
    <row r="259" spans="1:14" x14ac:dyDescent="0.2">
      <c r="A259" s="39"/>
      <c r="B259" s="191"/>
      <c r="C259" s="39"/>
      <c r="D259" s="39"/>
      <c r="E259" s="39"/>
      <c r="F259" s="39"/>
      <c r="G259" s="9"/>
      <c r="J259" s="17"/>
      <c r="K259" s="17"/>
      <c r="N259" s="9"/>
    </row>
    <row r="260" spans="1:14" x14ac:dyDescent="0.2">
      <c r="A260" s="39"/>
      <c r="B260" s="191"/>
      <c r="C260" s="39"/>
      <c r="D260" s="39"/>
      <c r="E260" s="39"/>
      <c r="F260" s="39"/>
      <c r="G260" s="9"/>
      <c r="J260" s="17"/>
      <c r="K260" s="17"/>
      <c r="N260" s="9"/>
    </row>
    <row r="261" spans="1:14" x14ac:dyDescent="0.2">
      <c r="A261" s="39"/>
      <c r="B261" s="191"/>
      <c r="C261" s="39"/>
      <c r="D261" s="39"/>
      <c r="E261" s="39"/>
      <c r="F261" s="39"/>
      <c r="G261" s="9"/>
      <c r="J261" s="17"/>
      <c r="K261" s="17"/>
      <c r="N261" s="9"/>
    </row>
    <row r="262" spans="1:14" x14ac:dyDescent="0.2">
      <c r="A262" s="39"/>
      <c r="B262" s="191"/>
      <c r="C262" s="39"/>
      <c r="D262" s="39"/>
      <c r="E262" s="39"/>
      <c r="F262" s="39"/>
      <c r="G262" s="9"/>
      <c r="J262" s="17"/>
      <c r="K262" s="17"/>
      <c r="N262" s="9"/>
    </row>
    <row r="263" spans="1:14" x14ac:dyDescent="0.2">
      <c r="A263" s="39"/>
      <c r="B263" s="191"/>
      <c r="C263" s="39"/>
      <c r="D263" s="39"/>
      <c r="E263" s="39"/>
      <c r="F263" s="39"/>
      <c r="G263" s="9"/>
      <c r="J263" s="17"/>
      <c r="K263" s="17"/>
      <c r="N263" s="9"/>
    </row>
    <row r="264" spans="1:14" x14ac:dyDescent="0.2">
      <c r="A264" s="39"/>
      <c r="B264" s="191"/>
      <c r="C264" s="39"/>
      <c r="D264" s="39"/>
      <c r="E264" s="39"/>
      <c r="F264" s="39"/>
      <c r="G264" s="9"/>
      <c r="J264" s="17"/>
      <c r="K264" s="17"/>
      <c r="N264" s="9"/>
    </row>
    <row r="265" spans="1:14" x14ac:dyDescent="0.2">
      <c r="A265" s="39"/>
      <c r="B265" s="191"/>
      <c r="C265" s="39"/>
      <c r="D265" s="39"/>
      <c r="E265" s="39"/>
      <c r="F265" s="39"/>
      <c r="G265" s="9"/>
      <c r="J265" s="17"/>
      <c r="K265" s="17"/>
      <c r="N265" s="9"/>
    </row>
    <row r="266" spans="1:14" x14ac:dyDescent="0.2">
      <c r="A266" s="39"/>
      <c r="B266" s="191"/>
      <c r="C266" s="39"/>
      <c r="D266" s="39"/>
      <c r="E266" s="39"/>
      <c r="F266" s="39"/>
      <c r="G266" s="9"/>
      <c r="J266" s="17"/>
      <c r="K266" s="17"/>
      <c r="N266" s="9"/>
    </row>
    <row r="267" spans="1:14" x14ac:dyDescent="0.2">
      <c r="A267" s="39"/>
      <c r="B267" s="191"/>
      <c r="C267" s="39"/>
      <c r="D267" s="39"/>
      <c r="E267" s="39"/>
      <c r="F267" s="39"/>
      <c r="G267" s="9"/>
      <c r="J267" s="17"/>
      <c r="K267" s="17"/>
      <c r="N267" s="9"/>
    </row>
    <row r="268" spans="1:14" x14ac:dyDescent="0.2">
      <c r="A268" s="39"/>
      <c r="B268" s="191"/>
      <c r="C268" s="39"/>
      <c r="D268" s="39"/>
      <c r="E268" s="39"/>
      <c r="F268" s="39"/>
      <c r="G268" s="9"/>
      <c r="J268" s="17"/>
      <c r="K268" s="17"/>
      <c r="N268" s="9"/>
    </row>
    <row r="269" spans="1:14" x14ac:dyDescent="0.2">
      <c r="A269" s="39"/>
      <c r="B269" s="191"/>
      <c r="C269" s="39"/>
      <c r="D269" s="39"/>
      <c r="E269" s="39"/>
      <c r="F269" s="39"/>
      <c r="G269" s="9"/>
      <c r="J269" s="17"/>
      <c r="K269" s="17"/>
      <c r="N269" s="9"/>
    </row>
    <row r="270" spans="1:14" x14ac:dyDescent="0.2">
      <c r="A270" s="39"/>
      <c r="B270" s="191"/>
      <c r="C270" s="39"/>
      <c r="D270" s="39"/>
      <c r="E270" s="39"/>
      <c r="F270" s="39"/>
      <c r="G270" s="9"/>
      <c r="J270" s="17"/>
      <c r="K270" s="17"/>
      <c r="N270" s="9"/>
    </row>
    <row r="271" spans="1:14" x14ac:dyDescent="0.2">
      <c r="A271" s="39"/>
      <c r="B271" s="191"/>
      <c r="C271" s="39"/>
      <c r="D271" s="39"/>
      <c r="E271" s="39"/>
      <c r="F271" s="39"/>
      <c r="G271" s="9"/>
      <c r="J271" s="17"/>
      <c r="K271" s="17"/>
      <c r="N271" s="9"/>
    </row>
    <row r="272" spans="1:14" x14ac:dyDescent="0.2">
      <c r="A272" s="39"/>
      <c r="B272" s="191"/>
      <c r="C272" s="39"/>
      <c r="D272" s="39"/>
      <c r="E272" s="39"/>
      <c r="F272" s="39"/>
      <c r="G272" s="9"/>
      <c r="J272" s="17"/>
      <c r="K272" s="17"/>
      <c r="N272" s="9"/>
    </row>
    <row r="273" spans="1:14" x14ac:dyDescent="0.2">
      <c r="A273" s="39"/>
      <c r="B273" s="191"/>
      <c r="C273" s="39"/>
      <c r="D273" s="39"/>
      <c r="E273" s="39"/>
      <c r="F273" s="39"/>
      <c r="G273" s="9"/>
      <c r="J273" s="17"/>
      <c r="K273" s="17"/>
      <c r="N273" s="9"/>
    </row>
    <row r="274" spans="1:14" x14ac:dyDescent="0.2">
      <c r="A274" s="39"/>
      <c r="B274" s="191"/>
      <c r="C274" s="39"/>
      <c r="D274" s="39"/>
      <c r="E274" s="39"/>
      <c r="F274" s="39"/>
      <c r="G274" s="9"/>
      <c r="J274" s="17"/>
      <c r="K274" s="17"/>
      <c r="N274" s="9"/>
    </row>
    <row r="275" spans="1:14" x14ac:dyDescent="0.2">
      <c r="A275" s="39"/>
      <c r="B275" s="191"/>
      <c r="C275" s="39"/>
      <c r="D275" s="39"/>
      <c r="E275" s="39"/>
      <c r="F275" s="39"/>
      <c r="G275" s="9"/>
      <c r="J275" s="17"/>
      <c r="K275" s="17"/>
      <c r="N275" s="9"/>
    </row>
    <row r="276" spans="1:14" x14ac:dyDescent="0.2">
      <c r="A276" s="39"/>
      <c r="B276" s="191"/>
      <c r="C276" s="39"/>
      <c r="D276" s="39"/>
      <c r="E276" s="39"/>
      <c r="F276" s="39"/>
      <c r="G276" s="9"/>
      <c r="J276" s="17"/>
      <c r="K276" s="17"/>
      <c r="N276" s="9"/>
    </row>
    <row r="277" spans="1:14" x14ac:dyDescent="0.2">
      <c r="A277" s="39"/>
      <c r="B277" s="191"/>
      <c r="C277" s="39"/>
      <c r="D277" s="39"/>
      <c r="E277" s="39"/>
      <c r="F277" s="39"/>
      <c r="G277" s="9"/>
      <c r="J277" s="17"/>
      <c r="K277" s="17"/>
      <c r="N277" s="9"/>
    </row>
    <row r="278" spans="1:14" x14ac:dyDescent="0.2">
      <c r="A278" s="39"/>
      <c r="B278" s="191"/>
      <c r="C278" s="39"/>
      <c r="D278" s="39"/>
      <c r="E278" s="39"/>
      <c r="F278" s="39"/>
      <c r="G278" s="9"/>
      <c r="J278" s="17"/>
      <c r="K278" s="17"/>
      <c r="N278" s="9"/>
    </row>
    <row r="279" spans="1:14" x14ac:dyDescent="0.2">
      <c r="A279" s="39"/>
      <c r="B279" s="191"/>
      <c r="C279" s="39"/>
      <c r="D279" s="39"/>
      <c r="E279" s="39"/>
      <c r="F279" s="39"/>
      <c r="G279" s="9"/>
      <c r="J279" s="17"/>
      <c r="K279" s="17"/>
      <c r="N279" s="9"/>
    </row>
    <row r="280" spans="1:14" x14ac:dyDescent="0.2">
      <c r="A280" s="39"/>
      <c r="B280" s="191"/>
      <c r="C280" s="39"/>
      <c r="D280" s="39"/>
      <c r="E280" s="39"/>
      <c r="F280" s="39"/>
      <c r="G280" s="9"/>
      <c r="J280" s="17"/>
      <c r="K280" s="17"/>
      <c r="N280" s="9"/>
    </row>
    <row r="281" spans="1:14" x14ac:dyDescent="0.2">
      <c r="A281" s="39"/>
      <c r="B281" s="191"/>
      <c r="C281" s="39"/>
      <c r="D281" s="39"/>
      <c r="E281" s="39"/>
      <c r="F281" s="39"/>
      <c r="G281" s="9"/>
      <c r="J281" s="17"/>
      <c r="K281" s="17"/>
      <c r="N281" s="9"/>
    </row>
    <row r="282" spans="1:14" x14ac:dyDescent="0.2">
      <c r="A282" s="39"/>
      <c r="B282" s="191"/>
      <c r="C282" s="39"/>
      <c r="D282" s="39"/>
      <c r="E282" s="39"/>
      <c r="F282" s="39"/>
      <c r="G282" s="9"/>
      <c r="J282" s="17"/>
      <c r="K282" s="17"/>
      <c r="N282" s="9"/>
    </row>
    <row r="283" spans="1:14" x14ac:dyDescent="0.2">
      <c r="A283" s="39"/>
      <c r="B283" s="191"/>
      <c r="C283" s="39"/>
      <c r="D283" s="39"/>
      <c r="E283" s="39"/>
      <c r="F283" s="39"/>
      <c r="G283" s="9"/>
      <c r="J283" s="17"/>
      <c r="K283" s="17"/>
      <c r="N283" s="9"/>
    </row>
    <row r="284" spans="1:14" x14ac:dyDescent="0.2">
      <c r="A284" s="39"/>
      <c r="B284" s="191"/>
      <c r="C284" s="39"/>
      <c r="D284" s="39"/>
      <c r="E284" s="39"/>
      <c r="F284" s="39"/>
      <c r="G284" s="9"/>
      <c r="J284" s="17"/>
      <c r="K284" s="17"/>
      <c r="N284" s="9"/>
    </row>
    <row r="285" spans="1:14" x14ac:dyDescent="0.2">
      <c r="A285" s="39"/>
      <c r="B285" s="191"/>
      <c r="C285" s="39"/>
      <c r="D285" s="39"/>
      <c r="E285" s="39"/>
      <c r="F285" s="39"/>
      <c r="G285" s="9"/>
      <c r="J285" s="17"/>
      <c r="K285" s="17"/>
      <c r="N285" s="9"/>
    </row>
    <row r="286" spans="1:14" x14ac:dyDescent="0.2">
      <c r="A286" s="39"/>
      <c r="B286" s="191"/>
      <c r="C286" s="39"/>
      <c r="D286" s="39"/>
      <c r="E286" s="39"/>
      <c r="F286" s="39"/>
      <c r="G286" s="9"/>
      <c r="J286" s="17"/>
      <c r="K286" s="17"/>
      <c r="N286" s="9"/>
    </row>
    <row r="287" spans="1:14" x14ac:dyDescent="0.2">
      <c r="A287" s="39"/>
      <c r="B287" s="191"/>
      <c r="C287" s="39"/>
      <c r="D287" s="39"/>
      <c r="E287" s="39"/>
      <c r="F287" s="39"/>
      <c r="G287" s="9"/>
      <c r="J287" s="17"/>
      <c r="K287" s="17"/>
      <c r="N287" s="9"/>
    </row>
    <row r="288" spans="1:14" x14ac:dyDescent="0.2">
      <c r="A288" s="39"/>
      <c r="B288" s="191"/>
      <c r="C288" s="39"/>
      <c r="D288" s="39"/>
      <c r="E288" s="39"/>
      <c r="F288" s="39"/>
      <c r="G288" s="9"/>
      <c r="J288" s="17"/>
      <c r="K288" s="17"/>
      <c r="N288" s="9"/>
    </row>
    <row r="289" spans="1:14" x14ac:dyDescent="0.2">
      <c r="A289" s="39"/>
      <c r="B289" s="191"/>
      <c r="C289" s="39"/>
      <c r="D289" s="39"/>
      <c r="E289" s="39"/>
      <c r="F289" s="39"/>
      <c r="G289" s="9"/>
      <c r="J289" s="17"/>
      <c r="K289" s="17"/>
      <c r="N289" s="9"/>
    </row>
    <row r="290" spans="1:14" x14ac:dyDescent="0.2">
      <c r="A290" s="39"/>
      <c r="B290" s="191"/>
      <c r="C290" s="39"/>
      <c r="D290" s="39"/>
      <c r="E290" s="39"/>
      <c r="F290" s="39"/>
      <c r="G290" s="9"/>
      <c r="J290" s="17"/>
      <c r="K290" s="17"/>
      <c r="N290" s="9"/>
    </row>
    <row r="291" spans="1:14" x14ac:dyDescent="0.2">
      <c r="A291" s="39"/>
      <c r="B291" s="191"/>
      <c r="C291" s="39"/>
      <c r="D291" s="39"/>
      <c r="E291" s="39"/>
      <c r="F291" s="39"/>
      <c r="G291" s="9"/>
      <c r="J291" s="17"/>
      <c r="K291" s="17"/>
      <c r="N291" s="9"/>
    </row>
    <row r="292" spans="1:14" x14ac:dyDescent="0.2">
      <c r="A292" s="39"/>
      <c r="B292" s="191"/>
      <c r="C292" s="39"/>
      <c r="D292" s="39"/>
      <c r="E292" s="39"/>
      <c r="F292" s="39"/>
      <c r="G292" s="9"/>
      <c r="J292" s="17"/>
      <c r="K292" s="17"/>
      <c r="N292" s="9"/>
    </row>
    <row r="293" spans="1:14" x14ac:dyDescent="0.2">
      <c r="A293" s="39"/>
      <c r="B293" s="191"/>
      <c r="C293" s="39"/>
      <c r="D293" s="39"/>
      <c r="E293" s="39"/>
      <c r="F293" s="39"/>
      <c r="G293" s="9"/>
      <c r="J293" s="17"/>
      <c r="K293" s="17"/>
      <c r="N293" s="9"/>
    </row>
    <row r="294" spans="1:14" x14ac:dyDescent="0.2">
      <c r="A294" s="39"/>
      <c r="B294" s="191"/>
      <c r="C294" s="39"/>
      <c r="D294" s="39"/>
      <c r="E294" s="39"/>
      <c r="F294" s="39"/>
      <c r="G294" s="9"/>
      <c r="J294" s="17"/>
      <c r="K294" s="17"/>
      <c r="N294" s="9"/>
    </row>
    <row r="295" spans="1:14" x14ac:dyDescent="0.2">
      <c r="A295" s="39"/>
      <c r="B295" s="191"/>
      <c r="C295" s="39"/>
      <c r="D295" s="39"/>
      <c r="E295" s="39"/>
      <c r="F295" s="39"/>
      <c r="G295" s="9"/>
      <c r="J295" s="17"/>
      <c r="K295" s="17"/>
      <c r="N295" s="9"/>
    </row>
    <row r="296" spans="1:14" x14ac:dyDescent="0.2">
      <c r="A296" s="39"/>
      <c r="B296" s="191"/>
      <c r="C296" s="39"/>
      <c r="D296" s="39"/>
      <c r="E296" s="39"/>
      <c r="F296" s="39"/>
      <c r="G296" s="9"/>
      <c r="J296" s="17"/>
      <c r="K296" s="17"/>
      <c r="N296" s="9"/>
    </row>
    <row r="297" spans="1:14" x14ac:dyDescent="0.2">
      <c r="A297" s="39"/>
      <c r="B297" s="191"/>
      <c r="C297" s="39"/>
      <c r="D297" s="39"/>
      <c r="E297" s="39"/>
      <c r="F297" s="39"/>
      <c r="G297" s="9"/>
      <c r="J297" s="17"/>
      <c r="K297" s="17"/>
      <c r="N297" s="9"/>
    </row>
    <row r="298" spans="1:14" x14ac:dyDescent="0.2">
      <c r="A298" s="39"/>
      <c r="B298" s="191"/>
      <c r="C298" s="39"/>
      <c r="D298" s="39"/>
      <c r="E298" s="39"/>
      <c r="F298" s="39"/>
      <c r="G298" s="9"/>
      <c r="J298" s="17"/>
      <c r="K298" s="17"/>
      <c r="N298" s="9"/>
    </row>
    <row r="299" spans="1:14" x14ac:dyDescent="0.2">
      <c r="A299" s="39"/>
      <c r="B299" s="191"/>
      <c r="C299" s="39"/>
      <c r="D299" s="39"/>
      <c r="E299" s="39"/>
      <c r="F299" s="39"/>
      <c r="G299" s="9"/>
      <c r="J299" s="17"/>
      <c r="K299" s="17"/>
      <c r="N299" s="9"/>
    </row>
    <row r="300" spans="1:14" x14ac:dyDescent="0.2">
      <c r="A300" s="39"/>
      <c r="B300" s="191"/>
      <c r="C300" s="39"/>
      <c r="D300" s="39"/>
      <c r="E300" s="39"/>
      <c r="F300" s="39"/>
      <c r="G300" s="9"/>
      <c r="J300" s="17"/>
      <c r="K300" s="17"/>
      <c r="N300" s="9"/>
    </row>
    <row r="301" spans="1:14" x14ac:dyDescent="0.2">
      <c r="A301" s="39"/>
      <c r="B301" s="191"/>
      <c r="C301" s="39"/>
      <c r="D301" s="39"/>
      <c r="E301" s="39"/>
      <c r="F301" s="39"/>
      <c r="G301" s="9"/>
      <c r="J301" s="17"/>
      <c r="K301" s="17"/>
      <c r="N301" s="9"/>
    </row>
    <row r="302" spans="1:14" x14ac:dyDescent="0.2">
      <c r="A302" s="39"/>
      <c r="B302" s="191"/>
      <c r="C302" s="39"/>
      <c r="D302" s="39"/>
      <c r="E302" s="39"/>
      <c r="F302" s="39"/>
      <c r="G302" s="9"/>
      <c r="J302" s="17"/>
      <c r="K302" s="17"/>
      <c r="N302" s="9"/>
    </row>
    <row r="303" spans="1:14" x14ac:dyDescent="0.2">
      <c r="A303" s="39"/>
      <c r="B303" s="191"/>
      <c r="C303" s="39"/>
      <c r="D303" s="39"/>
      <c r="E303" s="39"/>
      <c r="F303" s="39"/>
      <c r="G303" s="9"/>
      <c r="J303" s="17"/>
      <c r="K303" s="17"/>
      <c r="N303" s="9"/>
    </row>
    <row r="304" spans="1:14" x14ac:dyDescent="0.2">
      <c r="A304" s="39"/>
      <c r="B304" s="191"/>
      <c r="C304" s="39"/>
      <c r="D304" s="39"/>
      <c r="E304" s="39"/>
      <c r="F304" s="39"/>
      <c r="G304" s="9"/>
      <c r="J304" s="17"/>
      <c r="K304" s="17"/>
      <c r="N304" s="9"/>
    </row>
    <row r="305" spans="1:14" x14ac:dyDescent="0.2">
      <c r="A305" s="39"/>
      <c r="B305" s="191"/>
      <c r="C305" s="39"/>
      <c r="D305" s="39"/>
      <c r="E305" s="39"/>
      <c r="F305" s="39"/>
      <c r="G305" s="9"/>
      <c r="J305" s="17"/>
      <c r="K305" s="17"/>
      <c r="N305" s="9"/>
    </row>
    <row r="306" spans="1:14" x14ac:dyDescent="0.2">
      <c r="A306" s="39"/>
      <c r="B306" s="191"/>
      <c r="C306" s="39"/>
      <c r="D306" s="39"/>
      <c r="E306" s="39"/>
      <c r="F306" s="39"/>
      <c r="G306" s="9"/>
      <c r="J306" s="17"/>
      <c r="K306" s="17"/>
      <c r="N306" s="9"/>
    </row>
    <row r="307" spans="1:14" x14ac:dyDescent="0.2">
      <c r="A307" s="39"/>
      <c r="B307" s="191"/>
      <c r="C307" s="39"/>
      <c r="D307" s="39"/>
      <c r="E307" s="39"/>
      <c r="F307" s="39"/>
      <c r="G307" s="9"/>
      <c r="J307" s="17"/>
      <c r="K307" s="17"/>
      <c r="N307" s="9"/>
    </row>
    <row r="308" spans="1:14" x14ac:dyDescent="0.2">
      <c r="A308" s="39"/>
      <c r="B308" s="191"/>
      <c r="C308" s="39"/>
      <c r="D308" s="39"/>
      <c r="E308" s="39"/>
      <c r="F308" s="39"/>
      <c r="G308" s="9"/>
      <c r="J308" s="17"/>
      <c r="K308" s="17"/>
      <c r="N308" s="9"/>
    </row>
    <row r="309" spans="1:14" x14ac:dyDescent="0.2">
      <c r="A309" s="39"/>
      <c r="B309" s="191"/>
      <c r="C309" s="39"/>
      <c r="D309" s="39"/>
      <c r="E309" s="39"/>
      <c r="F309" s="39"/>
      <c r="G309" s="9"/>
      <c r="J309" s="17"/>
      <c r="K309" s="17"/>
      <c r="N309" s="9"/>
    </row>
    <row r="310" spans="1:14" x14ac:dyDescent="0.2">
      <c r="A310" s="39"/>
      <c r="B310" s="191"/>
      <c r="C310" s="39"/>
      <c r="D310" s="39"/>
      <c r="E310" s="39"/>
      <c r="F310" s="39"/>
      <c r="G310" s="9"/>
      <c r="J310" s="17"/>
      <c r="K310" s="17"/>
      <c r="N310" s="9"/>
    </row>
    <row r="311" spans="1:14" x14ac:dyDescent="0.2">
      <c r="E311" s="10"/>
      <c r="F311" s="53"/>
      <c r="G311" s="9"/>
      <c r="J311" s="17"/>
      <c r="K311" s="17"/>
      <c r="N311" s="9"/>
    </row>
    <row r="312" spans="1:14" x14ac:dyDescent="0.2">
      <c r="E312" s="10"/>
      <c r="F312" s="53"/>
      <c r="G312" s="9"/>
      <c r="J312" s="17"/>
      <c r="K312" s="17"/>
      <c r="N312" s="9"/>
    </row>
    <row r="313" spans="1:14" x14ac:dyDescent="0.2">
      <c r="E313" s="10"/>
      <c r="F313" s="53"/>
      <c r="G313" s="9"/>
      <c r="J313" s="17"/>
      <c r="K313" s="17"/>
      <c r="N313" s="9"/>
    </row>
    <row r="314" spans="1:14" x14ac:dyDescent="0.2">
      <c r="E314" s="10"/>
      <c r="F314" s="53"/>
      <c r="G314" s="9"/>
      <c r="J314" s="17"/>
      <c r="K314" s="17"/>
      <c r="N314" s="9"/>
    </row>
    <row r="315" spans="1:14" x14ac:dyDescent="0.2">
      <c r="E315" s="10"/>
      <c r="F315" s="53"/>
      <c r="G315" s="9"/>
      <c r="J315" s="17"/>
      <c r="K315" s="17"/>
      <c r="N315" s="9"/>
    </row>
    <row r="316" spans="1:14" x14ac:dyDescent="0.2">
      <c r="E316" s="10"/>
      <c r="F316" s="53"/>
      <c r="G316" s="9"/>
      <c r="J316" s="17"/>
      <c r="K316" s="17"/>
      <c r="N316" s="9"/>
    </row>
    <row r="317" spans="1:14" x14ac:dyDescent="0.2">
      <c r="E317" s="10"/>
      <c r="F317" s="53"/>
      <c r="G317" s="9"/>
      <c r="J317" s="17"/>
      <c r="K317" s="17"/>
      <c r="N317" s="9"/>
    </row>
    <row r="318" spans="1:14" x14ac:dyDescent="0.2">
      <c r="E318" s="10"/>
      <c r="F318" s="53"/>
      <c r="G318" s="9"/>
      <c r="J318" s="17"/>
      <c r="K318" s="17"/>
      <c r="N318" s="9"/>
    </row>
    <row r="319" spans="1:14" x14ac:dyDescent="0.2">
      <c r="E319" s="10"/>
      <c r="F319" s="53"/>
      <c r="G319" s="9"/>
      <c r="J319" s="17"/>
      <c r="K319" s="17"/>
      <c r="N319" s="9"/>
    </row>
    <row r="320" spans="1:14" x14ac:dyDescent="0.2">
      <c r="E320" s="10"/>
      <c r="F320" s="53"/>
      <c r="G320" s="9"/>
      <c r="J320" s="17"/>
      <c r="K320" s="17"/>
      <c r="N320" s="9"/>
    </row>
    <row r="321" spans="5:14" x14ac:dyDescent="0.2">
      <c r="E321" s="10"/>
      <c r="F321" s="53"/>
      <c r="G321" s="9"/>
      <c r="J321" s="17"/>
      <c r="K321" s="17"/>
      <c r="N321" s="9"/>
    </row>
    <row r="322" spans="5:14" x14ac:dyDescent="0.2">
      <c r="E322" s="10"/>
      <c r="F322" s="53"/>
      <c r="G322" s="9"/>
      <c r="J322" s="17"/>
      <c r="K322" s="17"/>
      <c r="N322" s="9"/>
    </row>
    <row r="323" spans="5:14" x14ac:dyDescent="0.2">
      <c r="E323" s="10"/>
      <c r="F323" s="53"/>
      <c r="G323" s="9"/>
      <c r="J323" s="17"/>
      <c r="K323" s="17"/>
      <c r="N323" s="9"/>
    </row>
    <row r="324" spans="5:14" x14ac:dyDescent="0.2">
      <c r="E324" s="10"/>
      <c r="F324" s="53"/>
      <c r="G324" s="9"/>
      <c r="J324" s="17"/>
      <c r="K324" s="17"/>
      <c r="N324" s="9"/>
    </row>
    <row r="325" spans="5:14" x14ac:dyDescent="0.2">
      <c r="E325" s="10"/>
      <c r="F325" s="53"/>
      <c r="G325" s="9"/>
      <c r="J325" s="17"/>
      <c r="K325" s="17"/>
      <c r="N325" s="9"/>
    </row>
    <row r="326" spans="5:14" x14ac:dyDescent="0.2">
      <c r="E326" s="10"/>
      <c r="F326" s="53"/>
      <c r="G326" s="9"/>
      <c r="J326" s="17"/>
      <c r="K326" s="17"/>
      <c r="N326" s="9"/>
    </row>
    <row r="327" spans="5:14" x14ac:dyDescent="0.2">
      <c r="E327" s="10"/>
      <c r="F327" s="53"/>
      <c r="G327" s="9"/>
      <c r="J327" s="17"/>
      <c r="K327" s="17"/>
      <c r="N327" s="9"/>
    </row>
    <row r="328" spans="5:14" x14ac:dyDescent="0.2">
      <c r="E328" s="10"/>
      <c r="F328" s="53"/>
      <c r="G328" s="9"/>
      <c r="J328" s="17"/>
      <c r="K328" s="17"/>
      <c r="N328" s="9"/>
    </row>
    <row r="329" spans="5:14" x14ac:dyDescent="0.2">
      <c r="E329" s="10"/>
      <c r="F329" s="53"/>
      <c r="G329" s="9"/>
      <c r="J329" s="17"/>
      <c r="K329" s="17"/>
      <c r="N329" s="9"/>
    </row>
    <row r="330" spans="5:14" x14ac:dyDescent="0.2">
      <c r="E330" s="10"/>
      <c r="F330" s="53"/>
      <c r="G330" s="9"/>
      <c r="J330" s="17"/>
      <c r="K330" s="17"/>
      <c r="N330" s="9"/>
    </row>
    <row r="331" spans="5:14" x14ac:dyDescent="0.2">
      <c r="E331" s="10"/>
      <c r="F331" s="53"/>
      <c r="G331" s="9"/>
      <c r="J331" s="17"/>
      <c r="K331" s="17"/>
      <c r="N331" s="9"/>
    </row>
    <row r="332" spans="5:14" x14ac:dyDescent="0.2">
      <c r="E332" s="10"/>
      <c r="F332" s="53"/>
      <c r="G332" s="9"/>
      <c r="J332" s="17"/>
      <c r="K332" s="17"/>
      <c r="N332" s="9"/>
    </row>
    <row r="333" spans="5:14" x14ac:dyDescent="0.2">
      <c r="E333" s="10"/>
      <c r="F333" s="53"/>
      <c r="G333" s="9"/>
      <c r="J333" s="17"/>
      <c r="K333" s="17"/>
      <c r="N333" s="9"/>
    </row>
    <row r="334" spans="5:14" x14ac:dyDescent="0.2">
      <c r="E334" s="10"/>
      <c r="F334" s="53"/>
      <c r="G334" s="9"/>
      <c r="J334" s="17"/>
      <c r="K334" s="17"/>
      <c r="N334" s="9"/>
    </row>
    <row r="335" spans="5:14" x14ac:dyDescent="0.2">
      <c r="E335" s="10"/>
      <c r="F335" s="53"/>
      <c r="G335" s="9"/>
      <c r="J335" s="17"/>
      <c r="K335" s="17"/>
      <c r="N335" s="9"/>
    </row>
    <row r="336" spans="5:14" x14ac:dyDescent="0.2">
      <c r="E336" s="10"/>
      <c r="F336" s="53"/>
      <c r="G336" s="9"/>
      <c r="J336" s="17"/>
      <c r="K336" s="17"/>
      <c r="N336" s="9"/>
    </row>
    <row r="337" spans="5:14" x14ac:dyDescent="0.2">
      <c r="E337" s="10"/>
      <c r="F337" s="53"/>
      <c r="G337" s="9"/>
      <c r="J337" s="17"/>
      <c r="K337" s="17"/>
      <c r="N337" s="9"/>
    </row>
    <row r="338" spans="5:14" x14ac:dyDescent="0.2">
      <c r="E338" s="10"/>
      <c r="F338" s="53"/>
      <c r="G338" s="9"/>
      <c r="J338" s="17"/>
      <c r="K338" s="17"/>
      <c r="N338" s="9"/>
    </row>
    <row r="339" spans="5:14" x14ac:dyDescent="0.2">
      <c r="E339" s="10"/>
      <c r="F339" s="53"/>
      <c r="G339" s="9"/>
      <c r="J339" s="17"/>
      <c r="K339" s="17"/>
      <c r="N339" s="9"/>
    </row>
    <row r="340" spans="5:14" x14ac:dyDescent="0.2">
      <c r="E340" s="10"/>
      <c r="F340" s="53"/>
      <c r="G340" s="9"/>
      <c r="J340" s="17"/>
      <c r="K340" s="17"/>
      <c r="N340" s="9"/>
    </row>
    <row r="341" spans="5:14" x14ac:dyDescent="0.2">
      <c r="E341" s="10"/>
      <c r="F341" s="53"/>
      <c r="G341" s="9"/>
      <c r="J341" s="17"/>
      <c r="K341" s="17"/>
      <c r="N341" s="9"/>
    </row>
    <row r="342" spans="5:14" x14ac:dyDescent="0.2">
      <c r="E342" s="10"/>
      <c r="F342" s="53"/>
      <c r="G342" s="9"/>
      <c r="J342" s="17"/>
      <c r="K342" s="17"/>
      <c r="N342" s="9"/>
    </row>
    <row r="343" spans="5:14" x14ac:dyDescent="0.2">
      <c r="E343" s="10"/>
      <c r="F343" s="53"/>
      <c r="G343" s="9"/>
      <c r="J343" s="17"/>
      <c r="K343" s="17"/>
      <c r="N343" s="9"/>
    </row>
    <row r="344" spans="5:14" x14ac:dyDescent="0.2">
      <c r="E344" s="10"/>
      <c r="F344" s="53"/>
      <c r="G344" s="9"/>
      <c r="J344" s="17"/>
      <c r="K344" s="17"/>
      <c r="N344" s="9"/>
    </row>
    <row r="345" spans="5:14" x14ac:dyDescent="0.2">
      <c r="E345" s="10"/>
      <c r="F345" s="53"/>
      <c r="G345" s="9"/>
      <c r="J345" s="17"/>
      <c r="K345" s="17"/>
      <c r="N345" s="9"/>
    </row>
    <row r="346" spans="5:14" x14ac:dyDescent="0.2">
      <c r="E346" s="10"/>
      <c r="F346" s="53"/>
      <c r="G346" s="9"/>
      <c r="J346" s="17"/>
      <c r="K346" s="17"/>
      <c r="N346" s="9"/>
    </row>
    <row r="347" spans="5:14" x14ac:dyDescent="0.2">
      <c r="E347" s="10"/>
      <c r="F347" s="53"/>
      <c r="G347" s="9"/>
      <c r="J347" s="17"/>
      <c r="K347" s="17"/>
      <c r="N347" s="9"/>
    </row>
    <row r="348" spans="5:14" x14ac:dyDescent="0.2">
      <c r="E348" s="10"/>
      <c r="F348" s="53"/>
      <c r="G348" s="9"/>
      <c r="J348" s="17"/>
      <c r="K348" s="17"/>
      <c r="N348" s="9"/>
    </row>
    <row r="349" spans="5:14" x14ac:dyDescent="0.2">
      <c r="E349" s="10"/>
      <c r="F349" s="53"/>
      <c r="G349" s="9"/>
      <c r="J349" s="17"/>
      <c r="K349" s="17"/>
      <c r="N349" s="9"/>
    </row>
    <row r="350" spans="5:14" x14ac:dyDescent="0.2">
      <c r="E350" s="10"/>
      <c r="F350" s="53"/>
      <c r="G350" s="9"/>
      <c r="J350" s="17"/>
      <c r="K350" s="17"/>
      <c r="N350" s="9"/>
    </row>
    <row r="351" spans="5:14" x14ac:dyDescent="0.2">
      <c r="E351" s="10"/>
      <c r="F351" s="53"/>
      <c r="G351" s="9"/>
      <c r="J351" s="17"/>
      <c r="K351" s="17"/>
      <c r="N351" s="9"/>
    </row>
    <row r="352" spans="5:14" x14ac:dyDescent="0.2">
      <c r="E352" s="10"/>
      <c r="F352" s="53"/>
      <c r="G352" s="9"/>
      <c r="J352" s="17"/>
      <c r="K352" s="17"/>
      <c r="N352" s="9"/>
    </row>
    <row r="353" spans="5:14" x14ac:dyDescent="0.2">
      <c r="E353" s="10"/>
      <c r="F353" s="53"/>
      <c r="G353" s="9"/>
      <c r="J353" s="17"/>
      <c r="K353" s="17"/>
      <c r="N353" s="9"/>
    </row>
    <row r="354" spans="5:14" x14ac:dyDescent="0.2">
      <c r="E354" s="10"/>
      <c r="F354" s="53"/>
      <c r="G354" s="9"/>
      <c r="J354" s="17"/>
      <c r="K354" s="17"/>
      <c r="N354" s="9"/>
    </row>
    <row r="355" spans="5:14" x14ac:dyDescent="0.2">
      <c r="E355" s="10"/>
      <c r="F355" s="53"/>
      <c r="G355" s="9"/>
      <c r="J355" s="17"/>
      <c r="K355" s="17"/>
      <c r="N355" s="9"/>
    </row>
    <row r="356" spans="5:14" x14ac:dyDescent="0.2">
      <c r="E356" s="10"/>
      <c r="F356" s="53"/>
      <c r="G356" s="9"/>
      <c r="J356" s="17"/>
      <c r="K356" s="17"/>
      <c r="N356" s="9"/>
    </row>
    <row r="357" spans="5:14" x14ac:dyDescent="0.2">
      <c r="E357" s="10"/>
      <c r="F357" s="53"/>
      <c r="G357" s="9"/>
      <c r="J357" s="17"/>
      <c r="K357" s="17"/>
      <c r="N357" s="9"/>
    </row>
    <row r="358" spans="5:14" x14ac:dyDescent="0.2">
      <c r="E358" s="10"/>
      <c r="F358" s="53"/>
      <c r="G358" s="9"/>
      <c r="J358" s="17"/>
      <c r="K358" s="17"/>
      <c r="N358" s="9"/>
    </row>
    <row r="359" spans="5:14" x14ac:dyDescent="0.2">
      <c r="E359" s="10"/>
      <c r="F359" s="53"/>
      <c r="G359" s="9"/>
      <c r="J359" s="17"/>
      <c r="K359" s="17"/>
      <c r="N359" s="9"/>
    </row>
    <row r="360" spans="5:14" x14ac:dyDescent="0.2">
      <c r="E360" s="10"/>
      <c r="F360" s="53"/>
      <c r="G360" s="9"/>
      <c r="J360" s="17"/>
      <c r="K360" s="17"/>
      <c r="N360" s="9"/>
    </row>
    <row r="361" spans="5:14" x14ac:dyDescent="0.2">
      <c r="E361" s="10"/>
      <c r="F361" s="53"/>
      <c r="G361" s="9"/>
      <c r="J361" s="17"/>
      <c r="K361" s="17"/>
      <c r="N361" s="9"/>
    </row>
    <row r="362" spans="5:14" x14ac:dyDescent="0.2">
      <c r="E362" s="10"/>
      <c r="F362" s="53"/>
      <c r="G362" s="9"/>
      <c r="J362" s="17"/>
      <c r="K362" s="17"/>
      <c r="N362" s="9"/>
    </row>
    <row r="363" spans="5:14" x14ac:dyDescent="0.2">
      <c r="E363" s="10"/>
      <c r="F363" s="53"/>
      <c r="G363" s="9"/>
      <c r="J363" s="17"/>
      <c r="K363" s="17"/>
      <c r="N363" s="9"/>
    </row>
    <row r="364" spans="5:14" x14ac:dyDescent="0.2">
      <c r="E364" s="10"/>
      <c r="F364" s="53"/>
      <c r="G364" s="9"/>
      <c r="J364" s="17"/>
      <c r="K364" s="17"/>
      <c r="N364" s="9"/>
    </row>
    <row r="365" spans="5:14" x14ac:dyDescent="0.2">
      <c r="E365" s="10"/>
      <c r="F365" s="53"/>
      <c r="G365" s="9"/>
      <c r="J365" s="17"/>
      <c r="K365" s="17"/>
      <c r="N365" s="9"/>
    </row>
    <row r="366" spans="5:14" x14ac:dyDescent="0.2">
      <c r="E366" s="10"/>
      <c r="F366" s="53"/>
      <c r="G366" s="9"/>
      <c r="J366" s="17"/>
      <c r="K366" s="17"/>
      <c r="N366" s="9"/>
    </row>
    <row r="367" spans="5:14" x14ac:dyDescent="0.2">
      <c r="E367" s="10"/>
      <c r="F367" s="53"/>
      <c r="G367" s="9"/>
      <c r="J367" s="17"/>
      <c r="K367" s="17"/>
      <c r="N367" s="9"/>
    </row>
    <row r="368" spans="5:14" x14ac:dyDescent="0.2">
      <c r="E368" s="10"/>
      <c r="F368" s="53"/>
      <c r="G368" s="9"/>
      <c r="J368" s="17"/>
      <c r="K368" s="17"/>
      <c r="N368" s="9"/>
    </row>
    <row r="369" spans="5:14" x14ac:dyDescent="0.2">
      <c r="E369" s="10"/>
      <c r="F369" s="53"/>
      <c r="G369" s="9"/>
      <c r="J369" s="17"/>
      <c r="K369" s="17"/>
      <c r="N369" s="9"/>
    </row>
    <row r="370" spans="5:14" x14ac:dyDescent="0.2">
      <c r="E370" s="10"/>
      <c r="F370" s="53"/>
      <c r="G370" s="9"/>
      <c r="J370" s="17"/>
      <c r="K370" s="17"/>
      <c r="N370" s="9"/>
    </row>
    <row r="371" spans="5:14" x14ac:dyDescent="0.2">
      <c r="E371" s="10"/>
      <c r="F371" s="53"/>
      <c r="G371" s="9"/>
      <c r="J371" s="17"/>
      <c r="K371" s="17"/>
      <c r="N371" s="9"/>
    </row>
    <row r="372" spans="5:14" x14ac:dyDescent="0.2">
      <c r="E372" s="10"/>
      <c r="F372" s="53"/>
      <c r="G372" s="9"/>
      <c r="J372" s="17"/>
      <c r="K372" s="17"/>
      <c r="N372" s="9"/>
    </row>
    <row r="373" spans="5:14" x14ac:dyDescent="0.2">
      <c r="E373" s="10"/>
      <c r="F373" s="53"/>
      <c r="G373" s="9"/>
      <c r="J373" s="17"/>
      <c r="K373" s="17"/>
      <c r="N373" s="9"/>
    </row>
    <row r="374" spans="5:14" x14ac:dyDescent="0.2">
      <c r="E374" s="10"/>
      <c r="F374" s="53"/>
      <c r="G374" s="9"/>
      <c r="J374" s="17"/>
      <c r="K374" s="17"/>
      <c r="N374" s="9"/>
    </row>
    <row r="375" spans="5:14" x14ac:dyDescent="0.2">
      <c r="E375" s="10"/>
      <c r="F375" s="53"/>
      <c r="G375" s="9"/>
      <c r="J375" s="17"/>
      <c r="K375" s="17"/>
      <c r="N375" s="9"/>
    </row>
    <row r="376" spans="5:14" x14ac:dyDescent="0.2">
      <c r="E376" s="10"/>
      <c r="F376" s="53"/>
      <c r="G376" s="9"/>
      <c r="J376" s="17"/>
      <c r="K376" s="17"/>
      <c r="N376" s="9"/>
    </row>
    <row r="377" spans="5:14" x14ac:dyDescent="0.2">
      <c r="E377" s="10"/>
      <c r="F377" s="53"/>
      <c r="G377" s="9"/>
      <c r="J377" s="17"/>
      <c r="K377" s="17"/>
      <c r="N377" s="9"/>
    </row>
    <row r="378" spans="5:14" x14ac:dyDescent="0.2">
      <c r="E378" s="10"/>
      <c r="F378" s="53"/>
      <c r="G378" s="9"/>
      <c r="J378" s="17"/>
      <c r="K378" s="17"/>
      <c r="N378" s="9"/>
    </row>
    <row r="379" spans="5:14" x14ac:dyDescent="0.2">
      <c r="E379" s="10"/>
      <c r="F379" s="53"/>
      <c r="G379" s="9"/>
      <c r="J379" s="17"/>
      <c r="K379" s="17"/>
      <c r="N379" s="9"/>
    </row>
    <row r="380" spans="5:14" x14ac:dyDescent="0.2">
      <c r="E380" s="10"/>
      <c r="F380" s="53"/>
      <c r="G380" s="9"/>
      <c r="J380" s="17"/>
      <c r="K380" s="17"/>
      <c r="N380" s="9"/>
    </row>
    <row r="381" spans="5:14" x14ac:dyDescent="0.2">
      <c r="E381" s="10"/>
      <c r="F381" s="53"/>
      <c r="G381" s="9"/>
      <c r="J381" s="17"/>
      <c r="K381" s="17"/>
      <c r="N381" s="9"/>
    </row>
    <row r="382" spans="5:14" x14ac:dyDescent="0.2">
      <c r="E382" s="10"/>
      <c r="F382" s="53"/>
      <c r="G382" s="9"/>
      <c r="J382" s="17"/>
      <c r="K382" s="17"/>
      <c r="N382" s="9"/>
    </row>
    <row r="383" spans="5:14" x14ac:dyDescent="0.2">
      <c r="E383" s="10"/>
      <c r="F383" s="53"/>
      <c r="G383" s="9"/>
      <c r="J383" s="17"/>
      <c r="K383" s="17"/>
      <c r="N383" s="9"/>
    </row>
    <row r="384" spans="5:14" x14ac:dyDescent="0.2">
      <c r="E384" s="10"/>
      <c r="F384" s="53"/>
      <c r="G384" s="9"/>
      <c r="J384" s="17"/>
      <c r="K384" s="17"/>
      <c r="N384" s="9"/>
    </row>
    <row r="385" spans="5:14" x14ac:dyDescent="0.2">
      <c r="E385" s="10"/>
      <c r="F385" s="53"/>
      <c r="G385" s="9"/>
      <c r="J385" s="17"/>
      <c r="K385" s="17"/>
      <c r="N385" s="9"/>
    </row>
    <row r="386" spans="5:14" x14ac:dyDescent="0.2">
      <c r="E386" s="10"/>
      <c r="F386" s="53"/>
      <c r="G386" s="9"/>
      <c r="J386" s="17"/>
      <c r="K386" s="17"/>
      <c r="N386" s="9"/>
    </row>
    <row r="387" spans="5:14" x14ac:dyDescent="0.2">
      <c r="E387" s="10"/>
      <c r="F387" s="53"/>
      <c r="G387" s="9"/>
      <c r="J387" s="17"/>
      <c r="K387" s="17"/>
      <c r="N387" s="9"/>
    </row>
    <row r="388" spans="5:14" x14ac:dyDescent="0.2">
      <c r="E388" s="10"/>
      <c r="F388" s="53"/>
      <c r="G388" s="9"/>
      <c r="J388" s="17"/>
      <c r="K388" s="17"/>
      <c r="N388" s="9"/>
    </row>
    <row r="389" spans="5:14" x14ac:dyDescent="0.2">
      <c r="E389" s="10"/>
      <c r="F389" s="53"/>
      <c r="G389" s="9"/>
      <c r="J389" s="17"/>
      <c r="K389" s="17"/>
      <c r="N389" s="9"/>
    </row>
    <row r="390" spans="5:14" x14ac:dyDescent="0.2">
      <c r="E390" s="10"/>
      <c r="F390" s="53"/>
      <c r="G390" s="9"/>
      <c r="J390" s="17"/>
      <c r="K390" s="17"/>
      <c r="N390" s="9"/>
    </row>
    <row r="391" spans="5:14" x14ac:dyDescent="0.2">
      <c r="E391" s="10"/>
      <c r="F391" s="53"/>
      <c r="G391" s="9"/>
      <c r="J391" s="17"/>
      <c r="K391" s="17"/>
      <c r="N391" s="9"/>
    </row>
    <row r="392" spans="5:14" x14ac:dyDescent="0.2">
      <c r="E392" s="10"/>
      <c r="F392" s="53"/>
      <c r="G392" s="9"/>
      <c r="J392" s="17"/>
      <c r="K392" s="17"/>
      <c r="N392" s="9"/>
    </row>
    <row r="393" spans="5:14" x14ac:dyDescent="0.2">
      <c r="E393" s="10"/>
      <c r="F393" s="53"/>
      <c r="G393" s="9"/>
      <c r="J393" s="17"/>
      <c r="K393" s="17"/>
      <c r="N393" s="9"/>
    </row>
    <row r="394" spans="5:14" x14ac:dyDescent="0.2">
      <c r="E394" s="10"/>
      <c r="F394" s="53"/>
      <c r="G394" s="9"/>
      <c r="J394" s="17"/>
      <c r="K394" s="17"/>
      <c r="N394" s="9"/>
    </row>
    <row r="395" spans="5:14" x14ac:dyDescent="0.2">
      <c r="E395" s="10"/>
      <c r="F395" s="53"/>
      <c r="G395" s="9"/>
      <c r="J395" s="17"/>
      <c r="K395" s="17"/>
      <c r="N395" s="9"/>
    </row>
    <row r="396" spans="5:14" x14ac:dyDescent="0.2">
      <c r="E396" s="10"/>
      <c r="F396" s="53"/>
      <c r="G396" s="9"/>
      <c r="J396" s="17"/>
      <c r="K396" s="17"/>
      <c r="N396" s="9"/>
    </row>
    <row r="397" spans="5:14" x14ac:dyDescent="0.2">
      <c r="E397" s="10"/>
      <c r="F397" s="53"/>
      <c r="G397" s="9"/>
      <c r="J397" s="17"/>
      <c r="K397" s="17"/>
      <c r="N397" s="9"/>
    </row>
    <row r="398" spans="5:14" x14ac:dyDescent="0.2">
      <c r="E398" s="10"/>
      <c r="F398" s="53"/>
      <c r="G398" s="9"/>
      <c r="J398" s="17"/>
      <c r="K398" s="17"/>
      <c r="N398" s="9"/>
    </row>
    <row r="399" spans="5:14" x14ac:dyDescent="0.2">
      <c r="E399" s="10"/>
      <c r="F399" s="53"/>
      <c r="G399" s="9"/>
      <c r="J399" s="17"/>
      <c r="K399" s="17"/>
      <c r="N399" s="9"/>
    </row>
    <row r="400" spans="5:14" x14ac:dyDescent="0.2">
      <c r="E400" s="10"/>
      <c r="F400" s="53"/>
      <c r="G400" s="9"/>
      <c r="J400" s="17"/>
      <c r="K400" s="17"/>
      <c r="N400" s="9"/>
    </row>
    <row r="401" spans="5:14" x14ac:dyDescent="0.2">
      <c r="E401" s="10"/>
      <c r="F401" s="53"/>
      <c r="G401" s="9"/>
      <c r="J401" s="17"/>
      <c r="K401" s="17"/>
      <c r="N401" s="9"/>
    </row>
    <row r="402" spans="5:14" x14ac:dyDescent="0.2">
      <c r="E402" s="10"/>
      <c r="F402" s="53"/>
      <c r="G402" s="9"/>
      <c r="J402" s="17"/>
      <c r="K402" s="17"/>
      <c r="N402" s="9"/>
    </row>
    <row r="403" spans="5:14" x14ac:dyDescent="0.2">
      <c r="E403" s="10"/>
      <c r="F403" s="53"/>
      <c r="G403" s="9"/>
      <c r="J403" s="17"/>
      <c r="K403" s="17"/>
      <c r="N403" s="9"/>
    </row>
    <row r="404" spans="5:14" x14ac:dyDescent="0.2">
      <c r="E404" s="10"/>
      <c r="F404" s="53"/>
      <c r="G404" s="9"/>
      <c r="J404" s="17"/>
      <c r="K404" s="17"/>
      <c r="N404" s="9"/>
    </row>
    <row r="405" spans="5:14" x14ac:dyDescent="0.2">
      <c r="E405" s="10"/>
      <c r="F405" s="53"/>
      <c r="G405" s="9"/>
      <c r="J405" s="17"/>
      <c r="K405" s="17"/>
      <c r="N405" s="9"/>
    </row>
    <row r="406" spans="5:14" x14ac:dyDescent="0.2">
      <c r="E406" s="10"/>
      <c r="F406" s="53"/>
      <c r="G406" s="9"/>
      <c r="J406" s="17"/>
      <c r="K406" s="17"/>
      <c r="N406" s="9"/>
    </row>
    <row r="407" spans="5:14" x14ac:dyDescent="0.2">
      <c r="E407" s="10"/>
      <c r="F407" s="53"/>
      <c r="G407" s="9"/>
      <c r="J407" s="17"/>
      <c r="K407" s="17"/>
      <c r="N407" s="9"/>
    </row>
    <row r="408" spans="5:14" x14ac:dyDescent="0.2">
      <c r="E408" s="10"/>
      <c r="F408" s="53"/>
      <c r="G408" s="9"/>
      <c r="J408" s="17"/>
      <c r="K408" s="17"/>
      <c r="N408" s="9"/>
    </row>
    <row r="409" spans="5:14" x14ac:dyDescent="0.2">
      <c r="E409" s="10"/>
      <c r="F409" s="53"/>
      <c r="G409" s="9"/>
      <c r="J409" s="17"/>
      <c r="K409" s="17"/>
      <c r="N409" s="9"/>
    </row>
    <row r="410" spans="5:14" x14ac:dyDescent="0.2">
      <c r="E410" s="10"/>
      <c r="F410" s="53"/>
      <c r="G410" s="9"/>
      <c r="J410" s="17"/>
      <c r="K410" s="17"/>
      <c r="N410" s="9"/>
    </row>
    <row r="411" spans="5:14" x14ac:dyDescent="0.2">
      <c r="E411" s="10"/>
      <c r="F411" s="53"/>
      <c r="G411" s="9"/>
      <c r="J411" s="17"/>
      <c r="K411" s="17"/>
      <c r="N411" s="9"/>
    </row>
    <row r="412" spans="5:14" x14ac:dyDescent="0.2">
      <c r="E412" s="10"/>
      <c r="F412" s="53"/>
      <c r="G412" s="9"/>
      <c r="J412" s="17"/>
      <c r="K412" s="17"/>
      <c r="N412" s="9"/>
    </row>
    <row r="413" spans="5:14" x14ac:dyDescent="0.2">
      <c r="E413" s="10"/>
      <c r="F413" s="53"/>
      <c r="G413" s="9"/>
      <c r="J413" s="17"/>
      <c r="K413" s="17"/>
      <c r="N413" s="9"/>
    </row>
    <row r="414" spans="5:14" x14ac:dyDescent="0.2">
      <c r="E414" s="10"/>
      <c r="F414" s="53"/>
      <c r="G414" s="9"/>
      <c r="J414" s="17"/>
      <c r="K414" s="17"/>
      <c r="N414" s="9"/>
    </row>
    <row r="415" spans="5:14" x14ac:dyDescent="0.2">
      <c r="E415" s="10"/>
      <c r="F415" s="53"/>
      <c r="G415" s="9"/>
      <c r="J415" s="17"/>
      <c r="K415" s="17"/>
      <c r="N415" s="9"/>
    </row>
    <row r="416" spans="5:14" x14ac:dyDescent="0.2">
      <c r="E416" s="10"/>
      <c r="F416" s="53"/>
      <c r="G416" s="9"/>
      <c r="J416" s="17"/>
      <c r="K416" s="17"/>
      <c r="N416" s="9"/>
    </row>
    <row r="417" spans="5:14" x14ac:dyDescent="0.2">
      <c r="E417" s="10"/>
      <c r="F417" s="53"/>
      <c r="G417" s="9"/>
      <c r="J417" s="17"/>
      <c r="K417" s="17"/>
      <c r="N417" s="9"/>
    </row>
    <row r="418" spans="5:14" x14ac:dyDescent="0.2">
      <c r="E418" s="10"/>
      <c r="F418" s="53"/>
      <c r="G418" s="9"/>
      <c r="J418" s="17"/>
      <c r="K418" s="17"/>
      <c r="N418" s="9"/>
    </row>
    <row r="419" spans="5:14" x14ac:dyDescent="0.2">
      <c r="E419" s="10"/>
      <c r="F419" s="53"/>
      <c r="G419" s="9"/>
      <c r="J419" s="17"/>
      <c r="K419" s="17"/>
      <c r="N419" s="9"/>
    </row>
    <row r="420" spans="5:14" x14ac:dyDescent="0.2">
      <c r="E420" s="10"/>
      <c r="F420" s="53"/>
      <c r="G420" s="9"/>
      <c r="J420" s="17"/>
      <c r="K420" s="17"/>
      <c r="N420" s="9"/>
    </row>
    <row r="421" spans="5:14" x14ac:dyDescent="0.2">
      <c r="E421" s="10"/>
      <c r="F421" s="53"/>
      <c r="G421" s="9"/>
      <c r="J421" s="17"/>
      <c r="K421" s="17"/>
      <c r="N421" s="9"/>
    </row>
    <row r="422" spans="5:14" x14ac:dyDescent="0.2">
      <c r="E422" s="10"/>
      <c r="F422" s="53"/>
      <c r="G422" s="9"/>
      <c r="J422" s="17"/>
      <c r="K422" s="17"/>
      <c r="N422" s="9"/>
    </row>
    <row r="423" spans="5:14" x14ac:dyDescent="0.2">
      <c r="E423" s="10"/>
      <c r="F423" s="53"/>
      <c r="G423" s="9"/>
      <c r="J423" s="17"/>
      <c r="K423" s="17"/>
      <c r="N423" s="9"/>
    </row>
    <row r="424" spans="5:14" x14ac:dyDescent="0.2">
      <c r="E424" s="10"/>
      <c r="F424" s="53"/>
      <c r="G424" s="9"/>
      <c r="J424" s="17"/>
      <c r="K424" s="17"/>
      <c r="N424" s="9"/>
    </row>
    <row r="425" spans="5:14" x14ac:dyDescent="0.2">
      <c r="E425" s="10"/>
      <c r="F425" s="53"/>
      <c r="G425" s="9"/>
      <c r="J425" s="17"/>
      <c r="K425" s="17"/>
      <c r="N425" s="9"/>
    </row>
    <row r="426" spans="5:14" x14ac:dyDescent="0.2">
      <c r="E426" s="10"/>
      <c r="F426" s="53"/>
      <c r="G426" s="9"/>
      <c r="J426" s="17"/>
      <c r="K426" s="17"/>
      <c r="N426" s="9"/>
    </row>
    <row r="427" spans="5:14" x14ac:dyDescent="0.2">
      <c r="E427" s="10"/>
      <c r="F427" s="53"/>
      <c r="G427" s="9"/>
      <c r="J427" s="17"/>
      <c r="K427" s="17"/>
      <c r="N427" s="9"/>
    </row>
    <row r="428" spans="5:14" x14ac:dyDescent="0.2">
      <c r="E428" s="10"/>
      <c r="F428" s="53"/>
      <c r="G428" s="9"/>
      <c r="J428" s="17"/>
      <c r="K428" s="17"/>
      <c r="N428" s="9"/>
    </row>
    <row r="429" spans="5:14" x14ac:dyDescent="0.2">
      <c r="E429" s="10"/>
      <c r="F429" s="53"/>
      <c r="G429" s="9"/>
      <c r="J429" s="17"/>
      <c r="K429" s="17"/>
      <c r="N429" s="9"/>
    </row>
    <row r="430" spans="5:14" x14ac:dyDescent="0.2">
      <c r="E430" s="10"/>
      <c r="F430" s="53"/>
      <c r="G430" s="9"/>
      <c r="J430" s="17"/>
      <c r="K430" s="17"/>
      <c r="N430" s="9"/>
    </row>
    <row r="431" spans="5:14" x14ac:dyDescent="0.2">
      <c r="E431" s="10"/>
      <c r="F431" s="53"/>
      <c r="G431" s="9"/>
      <c r="J431" s="17"/>
      <c r="K431" s="17"/>
      <c r="N431" s="9"/>
    </row>
    <row r="432" spans="5:14" x14ac:dyDescent="0.2">
      <c r="E432" s="10"/>
      <c r="F432" s="53"/>
      <c r="G432" s="9"/>
      <c r="J432" s="17"/>
      <c r="K432" s="17"/>
      <c r="N432" s="9"/>
    </row>
    <row r="433" spans="5:14" x14ac:dyDescent="0.2">
      <c r="E433" s="10"/>
      <c r="F433" s="53"/>
      <c r="G433" s="9"/>
      <c r="J433" s="17"/>
      <c r="K433" s="17"/>
      <c r="N433" s="9"/>
    </row>
    <row r="434" spans="5:14" x14ac:dyDescent="0.2">
      <c r="E434" s="10"/>
      <c r="F434" s="53"/>
      <c r="G434" s="9"/>
      <c r="J434" s="17"/>
      <c r="K434" s="17"/>
      <c r="N434" s="9"/>
    </row>
    <row r="435" spans="5:14" x14ac:dyDescent="0.2">
      <c r="E435" s="10"/>
      <c r="F435" s="53"/>
      <c r="G435" s="9"/>
      <c r="J435" s="17"/>
      <c r="K435" s="17"/>
      <c r="N435" s="9"/>
    </row>
    <row r="436" spans="5:14" x14ac:dyDescent="0.2">
      <c r="E436" s="10"/>
      <c r="F436" s="53"/>
      <c r="G436" s="9"/>
      <c r="J436" s="17"/>
      <c r="K436" s="17"/>
      <c r="N436" s="9"/>
    </row>
    <row r="437" spans="5:14" x14ac:dyDescent="0.2">
      <c r="E437" s="10"/>
      <c r="F437" s="53"/>
      <c r="G437" s="9"/>
      <c r="J437" s="17"/>
      <c r="K437" s="17"/>
      <c r="N437" s="9"/>
    </row>
    <row r="438" spans="5:14" x14ac:dyDescent="0.2">
      <c r="E438" s="10"/>
      <c r="F438" s="53"/>
      <c r="G438" s="9"/>
      <c r="J438" s="17"/>
      <c r="K438" s="17"/>
      <c r="N438" s="9"/>
    </row>
    <row r="439" spans="5:14" x14ac:dyDescent="0.2">
      <c r="E439" s="10"/>
      <c r="F439" s="53"/>
      <c r="G439" s="9"/>
      <c r="J439" s="17"/>
      <c r="K439" s="17"/>
      <c r="N439" s="9"/>
    </row>
    <row r="440" spans="5:14" x14ac:dyDescent="0.2">
      <c r="E440" s="10"/>
      <c r="F440" s="53"/>
      <c r="G440" s="9"/>
      <c r="J440" s="17"/>
      <c r="K440" s="17"/>
      <c r="N440" s="9"/>
    </row>
    <row r="441" spans="5:14" x14ac:dyDescent="0.2">
      <c r="E441" s="10"/>
      <c r="F441" s="53"/>
      <c r="G441" s="9"/>
      <c r="J441" s="17"/>
      <c r="K441" s="17"/>
      <c r="N441" s="9"/>
    </row>
    <row r="442" spans="5:14" x14ac:dyDescent="0.2">
      <c r="E442" s="10"/>
      <c r="F442" s="53"/>
      <c r="G442" s="9"/>
      <c r="J442" s="17"/>
      <c r="K442" s="17"/>
      <c r="N442" s="9"/>
    </row>
    <row r="443" spans="5:14" x14ac:dyDescent="0.2">
      <c r="E443" s="10"/>
      <c r="F443" s="53"/>
      <c r="G443" s="9"/>
      <c r="J443" s="17"/>
      <c r="K443" s="17"/>
      <c r="N443" s="9"/>
    </row>
    <row r="444" spans="5:14" x14ac:dyDescent="0.2">
      <c r="E444" s="10"/>
      <c r="F444" s="53"/>
      <c r="G444" s="9"/>
      <c r="J444" s="17"/>
      <c r="K444" s="17"/>
      <c r="N444" s="9"/>
    </row>
    <row r="445" spans="5:14" x14ac:dyDescent="0.2">
      <c r="E445" s="10"/>
      <c r="F445" s="53"/>
      <c r="G445" s="9"/>
      <c r="J445" s="17"/>
      <c r="K445" s="17"/>
      <c r="N445" s="9"/>
    </row>
    <row r="446" spans="5:14" x14ac:dyDescent="0.2">
      <c r="E446" s="10"/>
      <c r="F446" s="53"/>
      <c r="G446" s="9"/>
      <c r="J446" s="17"/>
      <c r="K446" s="17"/>
      <c r="N446" s="9"/>
    </row>
    <row r="447" spans="5:14" x14ac:dyDescent="0.2">
      <c r="E447" s="10"/>
      <c r="F447" s="53"/>
      <c r="G447" s="9"/>
      <c r="J447" s="17"/>
      <c r="K447" s="17"/>
      <c r="N447" s="9"/>
    </row>
    <row r="448" spans="5:14" x14ac:dyDescent="0.2">
      <c r="E448" s="10"/>
      <c r="F448" s="53"/>
      <c r="G448" s="9"/>
      <c r="J448" s="17"/>
      <c r="K448" s="17"/>
      <c r="N448" s="9"/>
    </row>
    <row r="449" spans="5:14" x14ac:dyDescent="0.2">
      <c r="E449" s="10"/>
      <c r="F449" s="53"/>
      <c r="G449" s="9"/>
      <c r="J449" s="17"/>
      <c r="K449" s="17"/>
      <c r="N449" s="9"/>
    </row>
    <row r="450" spans="5:14" x14ac:dyDescent="0.2">
      <c r="E450" s="10"/>
      <c r="F450" s="53"/>
      <c r="G450" s="9"/>
      <c r="J450" s="17"/>
      <c r="K450" s="17"/>
      <c r="N450" s="9"/>
    </row>
    <row r="451" spans="5:14" x14ac:dyDescent="0.2">
      <c r="E451" s="10"/>
      <c r="F451" s="53"/>
      <c r="G451" s="9"/>
      <c r="J451" s="17"/>
      <c r="K451" s="17"/>
      <c r="N451" s="9"/>
    </row>
    <row r="452" spans="5:14" x14ac:dyDescent="0.2">
      <c r="E452" s="10"/>
      <c r="F452" s="53"/>
      <c r="G452" s="9"/>
      <c r="J452" s="17"/>
      <c r="K452" s="17"/>
      <c r="N452" s="9"/>
    </row>
    <row r="453" spans="5:14" x14ac:dyDescent="0.2">
      <c r="E453" s="10"/>
      <c r="F453" s="53"/>
      <c r="G453" s="9"/>
      <c r="J453" s="17"/>
      <c r="K453" s="17"/>
      <c r="N453" s="9"/>
    </row>
    <row r="454" spans="5:14" x14ac:dyDescent="0.2">
      <c r="E454" s="10"/>
      <c r="F454" s="53"/>
      <c r="G454" s="9"/>
      <c r="J454" s="17"/>
      <c r="K454" s="17"/>
      <c r="N454" s="9"/>
    </row>
    <row r="455" spans="5:14" x14ac:dyDescent="0.2">
      <c r="E455" s="10"/>
      <c r="F455" s="53"/>
      <c r="G455" s="9"/>
      <c r="J455" s="17"/>
      <c r="K455" s="17"/>
      <c r="N455" s="9"/>
    </row>
    <row r="456" spans="5:14" x14ac:dyDescent="0.2">
      <c r="E456" s="10"/>
      <c r="F456" s="53"/>
      <c r="G456" s="9"/>
      <c r="J456" s="17"/>
      <c r="K456" s="17"/>
      <c r="N456" s="9"/>
    </row>
    <row r="457" spans="5:14" x14ac:dyDescent="0.2">
      <c r="E457" s="10"/>
      <c r="F457" s="53"/>
      <c r="G457" s="9"/>
      <c r="J457" s="17"/>
      <c r="K457" s="17"/>
      <c r="N457" s="9"/>
    </row>
    <row r="458" spans="5:14" x14ac:dyDescent="0.2">
      <c r="E458" s="10"/>
      <c r="F458" s="53"/>
      <c r="G458" s="9"/>
      <c r="J458" s="17"/>
      <c r="K458" s="17"/>
      <c r="N458" s="9"/>
    </row>
    <row r="459" spans="5:14" x14ac:dyDescent="0.2">
      <c r="E459" s="10"/>
      <c r="F459" s="53"/>
      <c r="G459" s="9"/>
      <c r="J459" s="17"/>
      <c r="K459" s="17"/>
      <c r="N459" s="9"/>
    </row>
    <row r="460" spans="5:14" x14ac:dyDescent="0.2">
      <c r="E460" s="10"/>
      <c r="F460" s="53"/>
      <c r="G460" s="9"/>
      <c r="J460" s="17"/>
      <c r="K460" s="17"/>
      <c r="N460" s="9"/>
    </row>
    <row r="461" spans="5:14" x14ac:dyDescent="0.2">
      <c r="E461" s="10"/>
      <c r="F461" s="53"/>
      <c r="G461" s="9"/>
      <c r="J461" s="17"/>
      <c r="K461" s="17"/>
      <c r="N461" s="9"/>
    </row>
    <row r="462" spans="5:14" x14ac:dyDescent="0.2">
      <c r="E462" s="10"/>
      <c r="F462" s="53"/>
      <c r="G462" s="9"/>
      <c r="J462" s="17"/>
      <c r="K462" s="17"/>
      <c r="N462" s="9"/>
    </row>
    <row r="463" spans="5:14" x14ac:dyDescent="0.2">
      <c r="E463" s="10"/>
      <c r="F463" s="53"/>
      <c r="G463" s="9"/>
      <c r="J463" s="17"/>
      <c r="K463" s="17"/>
      <c r="N463" s="9"/>
    </row>
    <row r="464" spans="5:14" x14ac:dyDescent="0.2">
      <c r="E464" s="10"/>
      <c r="F464" s="53"/>
      <c r="G464" s="9"/>
      <c r="J464" s="17"/>
      <c r="K464" s="17"/>
      <c r="N464" s="9"/>
    </row>
    <row r="465" spans="5:14" x14ac:dyDescent="0.2">
      <c r="E465" s="10"/>
      <c r="F465" s="53"/>
      <c r="G465" s="9"/>
      <c r="J465" s="17"/>
      <c r="K465" s="17"/>
      <c r="N465" s="9"/>
    </row>
    <row r="466" spans="5:14" x14ac:dyDescent="0.2">
      <c r="E466" s="10"/>
      <c r="F466" s="53"/>
      <c r="G466" s="9"/>
      <c r="J466" s="17"/>
      <c r="K466" s="17"/>
      <c r="N466" s="9"/>
    </row>
    <row r="467" spans="5:14" x14ac:dyDescent="0.2">
      <c r="E467" s="10"/>
      <c r="F467" s="53"/>
      <c r="G467" s="9"/>
      <c r="J467" s="17"/>
      <c r="K467" s="17"/>
      <c r="N467" s="9"/>
    </row>
    <row r="468" spans="5:14" x14ac:dyDescent="0.2">
      <c r="E468" s="10"/>
      <c r="F468" s="53"/>
      <c r="G468" s="9"/>
      <c r="J468" s="17"/>
      <c r="K468" s="17"/>
      <c r="N468" s="9"/>
    </row>
    <row r="469" spans="5:14" x14ac:dyDescent="0.2">
      <c r="E469" s="10"/>
      <c r="F469" s="53"/>
      <c r="G469" s="9"/>
      <c r="J469" s="17"/>
      <c r="K469" s="17"/>
      <c r="N469" s="9"/>
    </row>
    <row r="470" spans="5:14" x14ac:dyDescent="0.2">
      <c r="E470" s="10"/>
      <c r="F470" s="53"/>
      <c r="G470" s="9"/>
      <c r="J470" s="17"/>
      <c r="K470" s="17"/>
      <c r="N470" s="9"/>
    </row>
    <row r="471" spans="5:14" x14ac:dyDescent="0.2">
      <c r="E471" s="10"/>
      <c r="F471" s="53"/>
      <c r="G471" s="9"/>
      <c r="J471" s="17"/>
      <c r="K471" s="17"/>
      <c r="N471" s="9"/>
    </row>
    <row r="472" spans="5:14" x14ac:dyDescent="0.2">
      <c r="E472" s="10"/>
      <c r="F472" s="53"/>
      <c r="G472" s="9"/>
      <c r="J472" s="17"/>
      <c r="K472" s="17"/>
      <c r="N472" s="9"/>
    </row>
    <row r="473" spans="5:14" x14ac:dyDescent="0.2">
      <c r="E473" s="10"/>
      <c r="F473" s="53"/>
      <c r="G473" s="9"/>
      <c r="J473" s="17"/>
      <c r="K473" s="17"/>
      <c r="N473" s="9"/>
    </row>
    <row r="474" spans="5:14" x14ac:dyDescent="0.2">
      <c r="E474" s="10"/>
      <c r="F474" s="53"/>
      <c r="G474" s="9"/>
      <c r="J474" s="17"/>
      <c r="K474" s="17"/>
      <c r="N474" s="9"/>
    </row>
    <row r="475" spans="5:14" x14ac:dyDescent="0.2">
      <c r="E475" s="10"/>
      <c r="F475" s="53"/>
      <c r="G475" s="9"/>
      <c r="J475" s="17"/>
      <c r="K475" s="17"/>
      <c r="N475" s="9"/>
    </row>
    <row r="476" spans="5:14" x14ac:dyDescent="0.2">
      <c r="E476" s="10"/>
      <c r="F476" s="53"/>
      <c r="G476" s="9"/>
      <c r="J476" s="17"/>
      <c r="K476" s="17"/>
      <c r="N476" s="9"/>
    </row>
    <row r="477" spans="5:14" x14ac:dyDescent="0.2">
      <c r="E477" s="10"/>
      <c r="F477" s="53"/>
      <c r="G477" s="9"/>
      <c r="J477" s="17"/>
      <c r="K477" s="17"/>
      <c r="N477" s="9"/>
    </row>
    <row r="478" spans="5:14" x14ac:dyDescent="0.2">
      <c r="E478" s="10"/>
      <c r="F478" s="53"/>
      <c r="G478" s="9"/>
      <c r="J478" s="17"/>
      <c r="K478" s="17"/>
      <c r="N478" s="9"/>
    </row>
    <row r="479" spans="5:14" x14ac:dyDescent="0.2">
      <c r="E479" s="10"/>
      <c r="F479" s="53"/>
      <c r="G479" s="9"/>
      <c r="J479" s="17"/>
      <c r="K479" s="17"/>
      <c r="N479" s="9"/>
    </row>
    <row r="480" spans="5:14" x14ac:dyDescent="0.2">
      <c r="E480" s="10"/>
      <c r="F480" s="53"/>
      <c r="G480" s="9"/>
      <c r="J480" s="17"/>
      <c r="K480" s="17"/>
      <c r="N480" s="9"/>
    </row>
    <row r="481" spans="5:14" x14ac:dyDescent="0.2">
      <c r="E481" s="10"/>
      <c r="F481" s="53"/>
      <c r="G481" s="9"/>
      <c r="J481" s="17"/>
      <c r="K481" s="17"/>
      <c r="N481" s="9"/>
    </row>
    <row r="482" spans="5:14" x14ac:dyDescent="0.2">
      <c r="E482" s="10"/>
      <c r="F482" s="53"/>
      <c r="G482" s="9"/>
      <c r="J482" s="17"/>
      <c r="K482" s="17"/>
      <c r="N482" s="9"/>
    </row>
    <row r="483" spans="5:14" x14ac:dyDescent="0.2">
      <c r="E483" s="10"/>
      <c r="F483" s="53"/>
      <c r="G483" s="9"/>
      <c r="J483" s="17"/>
      <c r="K483" s="17"/>
      <c r="N483" s="9"/>
    </row>
    <row r="484" spans="5:14" x14ac:dyDescent="0.2">
      <c r="E484" s="10"/>
      <c r="F484" s="53"/>
      <c r="G484" s="9"/>
      <c r="J484" s="17"/>
      <c r="K484" s="17"/>
      <c r="N484" s="9"/>
    </row>
    <row r="485" spans="5:14" x14ac:dyDescent="0.2">
      <c r="E485" s="10"/>
      <c r="F485" s="53"/>
      <c r="G485" s="9"/>
      <c r="J485" s="17"/>
      <c r="K485" s="17"/>
      <c r="N485" s="9"/>
    </row>
    <row r="486" spans="5:14" x14ac:dyDescent="0.2">
      <c r="E486" s="10"/>
      <c r="F486" s="53"/>
      <c r="G486" s="9"/>
      <c r="J486" s="17"/>
      <c r="K486" s="17"/>
      <c r="N486" s="9"/>
    </row>
    <row r="487" spans="5:14" x14ac:dyDescent="0.2">
      <c r="E487" s="10"/>
      <c r="F487" s="53"/>
      <c r="G487" s="9"/>
      <c r="J487" s="17"/>
      <c r="K487" s="17"/>
      <c r="N487" s="9"/>
    </row>
    <row r="488" spans="5:14" x14ac:dyDescent="0.2">
      <c r="E488" s="10"/>
      <c r="F488" s="53"/>
      <c r="G488" s="9"/>
      <c r="J488" s="17"/>
      <c r="K488" s="17"/>
      <c r="N488" s="9"/>
    </row>
    <row r="489" spans="5:14" x14ac:dyDescent="0.2">
      <c r="E489" s="10"/>
      <c r="F489" s="53"/>
      <c r="G489" s="9"/>
      <c r="J489" s="17"/>
      <c r="K489" s="17"/>
      <c r="N489" s="9"/>
    </row>
    <row r="490" spans="5:14" x14ac:dyDescent="0.2">
      <c r="E490" s="10"/>
      <c r="F490" s="53"/>
      <c r="G490" s="9"/>
      <c r="J490" s="17"/>
      <c r="K490" s="17"/>
      <c r="N490" s="9"/>
    </row>
    <row r="491" spans="5:14" x14ac:dyDescent="0.2">
      <c r="E491" s="10"/>
      <c r="F491" s="53"/>
      <c r="G491" s="9"/>
      <c r="J491" s="17"/>
      <c r="K491" s="17"/>
      <c r="N491" s="9"/>
    </row>
    <row r="492" spans="5:14" x14ac:dyDescent="0.2">
      <c r="E492" s="10"/>
      <c r="F492" s="53"/>
      <c r="G492" s="9"/>
      <c r="J492" s="17"/>
      <c r="K492" s="17"/>
      <c r="N492" s="9"/>
    </row>
    <row r="493" spans="5:14" x14ac:dyDescent="0.2">
      <c r="E493" s="10"/>
      <c r="F493" s="53"/>
      <c r="G493" s="9"/>
      <c r="J493" s="17"/>
      <c r="K493" s="17"/>
      <c r="N493" s="9"/>
    </row>
    <row r="494" spans="5:14" x14ac:dyDescent="0.2">
      <c r="E494" s="10"/>
      <c r="F494" s="53"/>
      <c r="G494" s="9"/>
      <c r="J494" s="17"/>
      <c r="K494" s="17"/>
      <c r="N494" s="9"/>
    </row>
    <row r="495" spans="5:14" x14ac:dyDescent="0.2">
      <c r="E495" s="10"/>
      <c r="F495" s="53"/>
      <c r="G495" s="9"/>
      <c r="J495" s="17"/>
      <c r="K495" s="17"/>
      <c r="N495" s="9"/>
    </row>
    <row r="496" spans="5:14" x14ac:dyDescent="0.2">
      <c r="E496" s="10"/>
      <c r="F496" s="53"/>
      <c r="G496" s="9"/>
      <c r="J496" s="17"/>
      <c r="K496" s="17"/>
      <c r="N496" s="9"/>
    </row>
    <row r="497" spans="5:14" x14ac:dyDescent="0.2">
      <c r="E497" s="10"/>
      <c r="F497" s="53"/>
      <c r="G497" s="9"/>
      <c r="J497" s="17"/>
      <c r="K497" s="17"/>
      <c r="N497" s="9"/>
    </row>
    <row r="498" spans="5:14" x14ac:dyDescent="0.2">
      <c r="E498" s="10"/>
      <c r="F498" s="53"/>
      <c r="G498" s="9"/>
      <c r="J498" s="17"/>
      <c r="K498" s="17"/>
      <c r="N498" s="9"/>
    </row>
    <row r="499" spans="5:14" x14ac:dyDescent="0.2">
      <c r="E499" s="10"/>
      <c r="F499" s="53"/>
      <c r="G499" s="9"/>
      <c r="J499" s="17"/>
      <c r="K499" s="17"/>
      <c r="N499" s="9"/>
    </row>
    <row r="500" spans="5:14" x14ac:dyDescent="0.2">
      <c r="E500" s="10"/>
      <c r="F500" s="53"/>
      <c r="G500" s="9"/>
      <c r="J500" s="17"/>
      <c r="K500" s="17"/>
      <c r="N500" s="9"/>
    </row>
    <row r="501" spans="5:14" x14ac:dyDescent="0.2">
      <c r="E501" s="10"/>
      <c r="F501" s="53"/>
      <c r="G501" s="9"/>
      <c r="J501" s="17"/>
      <c r="K501" s="17"/>
      <c r="N501" s="9"/>
    </row>
    <row r="502" spans="5:14" x14ac:dyDescent="0.2">
      <c r="E502" s="10"/>
      <c r="F502" s="53"/>
      <c r="G502" s="9"/>
      <c r="J502" s="17"/>
      <c r="K502" s="17"/>
      <c r="N502" s="9"/>
    </row>
    <row r="503" spans="5:14" x14ac:dyDescent="0.2">
      <c r="E503" s="10"/>
      <c r="F503" s="53"/>
      <c r="G503" s="9"/>
      <c r="J503" s="17"/>
      <c r="K503" s="17"/>
      <c r="N503" s="9"/>
    </row>
    <row r="504" spans="5:14" x14ac:dyDescent="0.2">
      <c r="E504" s="10"/>
      <c r="F504" s="53"/>
      <c r="G504" s="9"/>
      <c r="J504" s="17"/>
      <c r="K504" s="17"/>
      <c r="N504" s="9"/>
    </row>
    <row r="505" spans="5:14" x14ac:dyDescent="0.2">
      <c r="E505" s="10"/>
      <c r="F505" s="53"/>
      <c r="G505" s="9"/>
      <c r="J505" s="17"/>
      <c r="K505" s="17"/>
      <c r="N505" s="9"/>
    </row>
    <row r="506" spans="5:14" x14ac:dyDescent="0.2">
      <c r="E506" s="10"/>
      <c r="F506" s="53"/>
      <c r="G506" s="9"/>
      <c r="J506" s="17"/>
      <c r="K506" s="17"/>
      <c r="N506" s="9"/>
    </row>
    <row r="507" spans="5:14" x14ac:dyDescent="0.2">
      <c r="E507" s="10"/>
      <c r="F507" s="53"/>
      <c r="G507" s="9"/>
      <c r="J507" s="17"/>
      <c r="K507" s="17"/>
      <c r="N507" s="9"/>
    </row>
    <row r="508" spans="5:14" x14ac:dyDescent="0.2">
      <c r="E508" s="10"/>
      <c r="F508" s="53"/>
      <c r="G508" s="9"/>
      <c r="J508" s="17"/>
      <c r="K508" s="17"/>
      <c r="N508" s="9"/>
    </row>
    <row r="509" spans="5:14" x14ac:dyDescent="0.2">
      <c r="E509" s="10"/>
      <c r="F509" s="53"/>
      <c r="G509" s="9"/>
      <c r="J509" s="17"/>
      <c r="K509" s="17"/>
      <c r="N509" s="9"/>
    </row>
    <row r="510" spans="5:14" x14ac:dyDescent="0.2">
      <c r="E510" s="10"/>
      <c r="F510" s="53"/>
      <c r="G510" s="9"/>
      <c r="J510" s="17"/>
      <c r="K510" s="17"/>
      <c r="N510" s="9"/>
    </row>
    <row r="511" spans="5:14" x14ac:dyDescent="0.2">
      <c r="E511" s="10"/>
      <c r="F511" s="53"/>
      <c r="G511" s="9"/>
      <c r="J511" s="17"/>
      <c r="K511" s="17"/>
      <c r="N511" s="9"/>
    </row>
    <row r="512" spans="5:14" x14ac:dyDescent="0.2">
      <c r="E512" s="10"/>
      <c r="F512" s="53"/>
      <c r="G512" s="9"/>
      <c r="J512" s="17"/>
      <c r="K512" s="17"/>
      <c r="N512" s="9"/>
    </row>
    <row r="513" spans="5:14" x14ac:dyDescent="0.2">
      <c r="E513" s="10"/>
      <c r="F513" s="53"/>
      <c r="G513" s="9"/>
      <c r="J513" s="17"/>
      <c r="K513" s="17"/>
      <c r="N513" s="9"/>
    </row>
    <row r="514" spans="5:14" x14ac:dyDescent="0.2">
      <c r="E514" s="10"/>
      <c r="F514" s="53"/>
      <c r="G514" s="9"/>
      <c r="J514" s="17"/>
      <c r="K514" s="17"/>
      <c r="N514" s="9"/>
    </row>
    <row r="515" spans="5:14" x14ac:dyDescent="0.2">
      <c r="E515" s="10"/>
      <c r="F515" s="53"/>
      <c r="G515" s="9"/>
      <c r="J515" s="17"/>
      <c r="K515" s="17"/>
      <c r="N515" s="9"/>
    </row>
    <row r="516" spans="5:14" x14ac:dyDescent="0.2">
      <c r="E516" s="10"/>
      <c r="F516" s="53"/>
      <c r="G516" s="9"/>
      <c r="J516" s="17"/>
      <c r="K516" s="17"/>
      <c r="N516" s="9"/>
    </row>
    <row r="517" spans="5:14" x14ac:dyDescent="0.2">
      <c r="E517" s="10"/>
      <c r="F517" s="53"/>
      <c r="G517" s="9"/>
      <c r="J517" s="17"/>
      <c r="K517" s="17"/>
      <c r="N517" s="9"/>
    </row>
    <row r="518" spans="5:14" x14ac:dyDescent="0.2">
      <c r="E518" s="10"/>
      <c r="F518" s="53"/>
      <c r="G518" s="9"/>
      <c r="J518" s="17"/>
      <c r="K518" s="17"/>
      <c r="N518" s="9"/>
    </row>
    <row r="519" spans="5:14" x14ac:dyDescent="0.2">
      <c r="E519" s="10"/>
      <c r="F519" s="53"/>
      <c r="G519" s="9"/>
      <c r="J519" s="17"/>
      <c r="K519" s="17"/>
      <c r="N519" s="9"/>
    </row>
    <row r="520" spans="5:14" x14ac:dyDescent="0.2">
      <c r="E520" s="10"/>
      <c r="F520" s="53"/>
      <c r="G520" s="9"/>
      <c r="J520" s="17"/>
      <c r="K520" s="17"/>
      <c r="N520" s="9"/>
    </row>
    <row r="521" spans="5:14" x14ac:dyDescent="0.2">
      <c r="E521" s="10"/>
      <c r="F521" s="53"/>
      <c r="G521" s="9"/>
      <c r="J521" s="17"/>
      <c r="K521" s="17"/>
      <c r="N521" s="9"/>
    </row>
    <row r="522" spans="5:14" x14ac:dyDescent="0.2">
      <c r="E522" s="10"/>
      <c r="F522" s="53"/>
      <c r="G522" s="9"/>
      <c r="J522" s="17"/>
      <c r="K522" s="17"/>
      <c r="N522" s="9"/>
    </row>
    <row r="523" spans="5:14" x14ac:dyDescent="0.2">
      <c r="E523" s="10"/>
      <c r="F523" s="53"/>
      <c r="G523" s="9"/>
      <c r="J523" s="17"/>
      <c r="K523" s="17"/>
      <c r="N523" s="9"/>
    </row>
    <row r="524" spans="5:14" x14ac:dyDescent="0.2">
      <c r="E524" s="10"/>
      <c r="F524" s="53"/>
      <c r="G524" s="9"/>
      <c r="J524" s="17"/>
      <c r="K524" s="17"/>
      <c r="N524" s="9"/>
    </row>
    <row r="525" spans="5:14" x14ac:dyDescent="0.2">
      <c r="E525" s="10"/>
      <c r="F525" s="53"/>
      <c r="G525" s="9"/>
      <c r="J525" s="17"/>
      <c r="K525" s="17"/>
      <c r="N525" s="9"/>
    </row>
    <row r="526" spans="5:14" x14ac:dyDescent="0.2">
      <c r="E526" s="10"/>
      <c r="F526" s="53"/>
      <c r="G526" s="9"/>
      <c r="J526" s="17"/>
      <c r="K526" s="17"/>
      <c r="N526" s="9"/>
    </row>
    <row r="527" spans="5:14" x14ac:dyDescent="0.2">
      <c r="E527" s="10"/>
      <c r="F527" s="53"/>
      <c r="G527" s="9"/>
      <c r="J527" s="17"/>
      <c r="K527" s="17"/>
      <c r="N527" s="9"/>
    </row>
    <row r="528" spans="5:14" x14ac:dyDescent="0.2">
      <c r="E528" s="10"/>
      <c r="F528" s="53"/>
      <c r="G528" s="9"/>
      <c r="J528" s="17"/>
      <c r="K528" s="17"/>
      <c r="N528" s="9"/>
    </row>
    <row r="529" spans="5:14" x14ac:dyDescent="0.2">
      <c r="E529" s="10"/>
      <c r="F529" s="53"/>
      <c r="G529" s="9"/>
      <c r="J529" s="17"/>
      <c r="K529" s="17"/>
      <c r="N529" s="9"/>
    </row>
    <row r="530" spans="5:14" x14ac:dyDescent="0.2">
      <c r="E530" s="10"/>
      <c r="F530" s="53"/>
      <c r="G530" s="9"/>
      <c r="J530" s="17"/>
      <c r="K530" s="17"/>
      <c r="N530" s="9"/>
    </row>
    <row r="531" spans="5:14" x14ac:dyDescent="0.2">
      <c r="E531" s="10"/>
      <c r="F531" s="53"/>
      <c r="G531" s="9"/>
      <c r="J531" s="17"/>
      <c r="K531" s="17"/>
      <c r="N531" s="9"/>
    </row>
    <row r="532" spans="5:14" x14ac:dyDescent="0.2">
      <c r="E532" s="10"/>
      <c r="F532" s="53"/>
      <c r="G532" s="9"/>
      <c r="J532" s="17"/>
      <c r="K532" s="17"/>
      <c r="N532" s="9"/>
    </row>
    <row r="533" spans="5:14" x14ac:dyDescent="0.2">
      <c r="E533" s="10"/>
      <c r="F533" s="53"/>
      <c r="G533" s="9"/>
      <c r="J533" s="17"/>
      <c r="K533" s="17"/>
      <c r="N533" s="9"/>
    </row>
    <row r="534" spans="5:14" x14ac:dyDescent="0.2">
      <c r="E534" s="10"/>
      <c r="F534" s="53"/>
      <c r="G534" s="9"/>
      <c r="J534" s="17"/>
      <c r="K534" s="17"/>
      <c r="N534" s="9"/>
    </row>
    <row r="535" spans="5:14" x14ac:dyDescent="0.2">
      <c r="E535" s="10"/>
      <c r="F535" s="53"/>
      <c r="G535" s="9"/>
      <c r="J535" s="17"/>
      <c r="K535" s="17"/>
      <c r="N535" s="9"/>
    </row>
    <row r="536" spans="5:14" x14ac:dyDescent="0.2">
      <c r="E536" s="10"/>
      <c r="F536" s="53"/>
      <c r="G536" s="9"/>
      <c r="J536" s="17"/>
      <c r="K536" s="17"/>
      <c r="N536" s="9"/>
    </row>
    <row r="537" spans="5:14" x14ac:dyDescent="0.2">
      <c r="E537" s="10"/>
      <c r="F537" s="53"/>
      <c r="G537" s="9"/>
      <c r="J537" s="17"/>
      <c r="K537" s="17"/>
      <c r="N537" s="9"/>
    </row>
    <row r="538" spans="5:14" x14ac:dyDescent="0.2">
      <c r="E538" s="10"/>
      <c r="F538" s="53"/>
      <c r="G538" s="9"/>
      <c r="J538" s="17"/>
      <c r="K538" s="17"/>
      <c r="N538" s="9"/>
    </row>
    <row r="539" spans="5:14" x14ac:dyDescent="0.2">
      <c r="E539" s="10"/>
      <c r="F539" s="53"/>
      <c r="G539" s="9"/>
      <c r="J539" s="17"/>
      <c r="K539" s="17"/>
      <c r="N539" s="9"/>
    </row>
    <row r="540" spans="5:14" x14ac:dyDescent="0.2">
      <c r="E540" s="10"/>
      <c r="F540" s="53"/>
      <c r="G540" s="9"/>
      <c r="J540" s="17"/>
      <c r="K540" s="17"/>
      <c r="N540" s="9"/>
    </row>
    <row r="541" spans="5:14" x14ac:dyDescent="0.2">
      <c r="E541" s="10"/>
      <c r="F541" s="53"/>
      <c r="G541" s="9"/>
      <c r="J541" s="17"/>
      <c r="K541" s="17"/>
      <c r="N541" s="9"/>
    </row>
    <row r="542" spans="5:14" x14ac:dyDescent="0.2">
      <c r="E542" s="10"/>
      <c r="F542" s="53"/>
      <c r="G542" s="9"/>
      <c r="J542" s="17"/>
      <c r="K542" s="17"/>
      <c r="N542" s="9"/>
    </row>
    <row r="543" spans="5:14" x14ac:dyDescent="0.2">
      <c r="E543" s="10"/>
      <c r="F543" s="53"/>
      <c r="G543" s="9"/>
      <c r="J543" s="17"/>
      <c r="K543" s="17"/>
      <c r="N543" s="9"/>
    </row>
    <row r="544" spans="5:14" x14ac:dyDescent="0.2">
      <c r="E544" s="10"/>
      <c r="F544" s="53"/>
      <c r="G544" s="9"/>
      <c r="J544" s="17"/>
      <c r="K544" s="17"/>
      <c r="N544" s="9"/>
    </row>
    <row r="545" spans="5:14" x14ac:dyDescent="0.2">
      <c r="E545" s="10"/>
      <c r="F545" s="53"/>
      <c r="G545" s="9"/>
      <c r="J545" s="17"/>
      <c r="K545" s="17"/>
      <c r="N545" s="9"/>
    </row>
    <row r="546" spans="5:14" x14ac:dyDescent="0.2">
      <c r="E546" s="10"/>
      <c r="F546" s="53"/>
      <c r="G546" s="9"/>
      <c r="J546" s="17"/>
      <c r="K546" s="17"/>
      <c r="N546" s="9"/>
    </row>
    <row r="547" spans="5:14" x14ac:dyDescent="0.2">
      <c r="E547" s="10"/>
      <c r="F547" s="53"/>
      <c r="G547" s="9"/>
      <c r="J547" s="17"/>
      <c r="K547" s="17"/>
      <c r="N547" s="9"/>
    </row>
    <row r="548" spans="5:14" x14ac:dyDescent="0.2">
      <c r="E548" s="10"/>
      <c r="F548" s="53"/>
      <c r="G548" s="9"/>
      <c r="J548" s="17"/>
      <c r="K548" s="17"/>
      <c r="N548" s="9"/>
    </row>
    <row r="549" spans="5:14" x14ac:dyDescent="0.2">
      <c r="E549" s="10"/>
      <c r="F549" s="53"/>
      <c r="G549" s="9"/>
      <c r="J549" s="17"/>
      <c r="K549" s="17"/>
      <c r="N549" s="9"/>
    </row>
    <row r="550" spans="5:14" x14ac:dyDescent="0.2">
      <c r="E550" s="10"/>
      <c r="F550" s="53"/>
      <c r="G550" s="9"/>
      <c r="J550" s="17"/>
      <c r="K550" s="17"/>
      <c r="N550" s="9"/>
    </row>
    <row r="551" spans="5:14" x14ac:dyDescent="0.2">
      <c r="E551" s="10"/>
      <c r="F551" s="53"/>
      <c r="G551" s="9"/>
      <c r="J551" s="17"/>
      <c r="K551" s="17"/>
      <c r="N551" s="9"/>
    </row>
    <row r="552" spans="5:14" x14ac:dyDescent="0.2">
      <c r="E552" s="10"/>
      <c r="F552" s="53"/>
      <c r="G552" s="9"/>
      <c r="J552" s="17"/>
      <c r="K552" s="17"/>
      <c r="N552" s="9"/>
    </row>
    <row r="553" spans="5:14" x14ac:dyDescent="0.2">
      <c r="E553" s="10"/>
      <c r="F553" s="53"/>
      <c r="G553" s="9"/>
      <c r="J553" s="17"/>
      <c r="K553" s="17"/>
      <c r="N553" s="9"/>
    </row>
    <row r="554" spans="5:14" x14ac:dyDescent="0.2">
      <c r="E554" s="10"/>
      <c r="F554" s="53"/>
      <c r="G554" s="9"/>
      <c r="J554" s="17"/>
      <c r="K554" s="17"/>
      <c r="N554" s="9"/>
    </row>
    <row r="555" spans="5:14" x14ac:dyDescent="0.2">
      <c r="E555" s="10"/>
      <c r="F555" s="53"/>
      <c r="G555" s="9"/>
      <c r="J555" s="17"/>
      <c r="K555" s="17"/>
      <c r="N555" s="9"/>
    </row>
    <row r="556" spans="5:14" x14ac:dyDescent="0.2">
      <c r="E556" s="10"/>
      <c r="F556" s="53"/>
      <c r="G556" s="9"/>
      <c r="J556" s="17"/>
      <c r="K556" s="17"/>
      <c r="N556" s="9"/>
    </row>
    <row r="557" spans="5:14" x14ac:dyDescent="0.2">
      <c r="E557" s="10"/>
      <c r="F557" s="53"/>
      <c r="G557" s="9"/>
      <c r="J557" s="17"/>
      <c r="K557" s="17"/>
      <c r="N557" s="9"/>
    </row>
    <row r="558" spans="5:14" x14ac:dyDescent="0.2">
      <c r="E558" s="10"/>
      <c r="F558" s="53"/>
      <c r="G558" s="9"/>
      <c r="J558" s="17"/>
      <c r="K558" s="17"/>
      <c r="N558" s="9"/>
    </row>
    <row r="559" spans="5:14" x14ac:dyDescent="0.2">
      <c r="E559" s="10"/>
      <c r="F559" s="53"/>
      <c r="G559" s="9"/>
      <c r="J559" s="17"/>
      <c r="K559" s="17"/>
      <c r="N559" s="9"/>
    </row>
    <row r="560" spans="5:14" x14ac:dyDescent="0.2">
      <c r="E560" s="10"/>
      <c r="F560" s="53"/>
      <c r="G560" s="9"/>
      <c r="J560" s="17"/>
      <c r="K560" s="17"/>
      <c r="N560" s="9"/>
    </row>
    <row r="561" spans="5:14" x14ac:dyDescent="0.2">
      <c r="E561" s="10"/>
      <c r="F561" s="53"/>
      <c r="G561" s="9"/>
      <c r="J561" s="17"/>
      <c r="K561" s="17"/>
      <c r="N561" s="9"/>
    </row>
    <row r="562" spans="5:14" x14ac:dyDescent="0.2">
      <c r="E562" s="10"/>
      <c r="F562" s="53"/>
      <c r="G562" s="9"/>
      <c r="J562" s="17"/>
      <c r="K562" s="17"/>
      <c r="N562" s="9"/>
    </row>
    <row r="563" spans="5:14" x14ac:dyDescent="0.2">
      <c r="E563" s="10"/>
      <c r="F563" s="53"/>
      <c r="G563" s="9"/>
      <c r="J563" s="17"/>
      <c r="K563" s="17"/>
      <c r="N563" s="9"/>
    </row>
    <row r="564" spans="5:14" x14ac:dyDescent="0.2">
      <c r="E564" s="10"/>
      <c r="F564" s="53"/>
      <c r="G564" s="9"/>
      <c r="J564" s="17"/>
      <c r="K564" s="17"/>
      <c r="N564" s="9"/>
    </row>
    <row r="565" spans="5:14" x14ac:dyDescent="0.2">
      <c r="E565" s="10"/>
      <c r="F565" s="53"/>
      <c r="G565" s="9"/>
      <c r="J565" s="17"/>
      <c r="K565" s="17"/>
      <c r="N565" s="9"/>
    </row>
    <row r="566" spans="5:14" x14ac:dyDescent="0.2">
      <c r="E566" s="10"/>
      <c r="F566" s="53"/>
      <c r="G566" s="9"/>
      <c r="J566" s="17"/>
      <c r="K566" s="17"/>
      <c r="N566" s="9"/>
    </row>
    <row r="567" spans="5:14" x14ac:dyDescent="0.2">
      <c r="E567" s="10"/>
      <c r="F567" s="53"/>
      <c r="G567" s="9"/>
      <c r="J567" s="17"/>
      <c r="K567" s="17"/>
      <c r="N567" s="9"/>
    </row>
    <row r="568" spans="5:14" x14ac:dyDescent="0.2">
      <c r="E568" s="10"/>
      <c r="F568" s="53"/>
      <c r="G568" s="9"/>
      <c r="J568" s="17"/>
      <c r="K568" s="17"/>
      <c r="N568" s="9"/>
    </row>
    <row r="569" spans="5:14" x14ac:dyDescent="0.2">
      <c r="E569" s="10"/>
      <c r="F569" s="53"/>
      <c r="G569" s="9"/>
      <c r="J569" s="17"/>
      <c r="K569" s="17"/>
      <c r="N569" s="9"/>
    </row>
    <row r="570" spans="5:14" x14ac:dyDescent="0.2">
      <c r="E570" s="10"/>
      <c r="F570" s="53"/>
      <c r="G570" s="9"/>
      <c r="J570" s="17"/>
      <c r="K570" s="17"/>
      <c r="N570" s="9"/>
    </row>
    <row r="571" spans="5:14" x14ac:dyDescent="0.2">
      <c r="E571" s="10"/>
      <c r="F571" s="53"/>
      <c r="G571" s="9"/>
      <c r="J571" s="17"/>
      <c r="K571" s="17"/>
      <c r="N571" s="9"/>
    </row>
    <row r="572" spans="5:14" x14ac:dyDescent="0.2">
      <c r="E572" s="10"/>
      <c r="F572" s="53"/>
      <c r="G572" s="9"/>
      <c r="J572" s="17"/>
      <c r="K572" s="17"/>
      <c r="N572" s="9"/>
    </row>
    <row r="573" spans="5:14" x14ac:dyDescent="0.2">
      <c r="E573" s="10"/>
      <c r="F573" s="53"/>
      <c r="G573" s="9"/>
      <c r="J573" s="17"/>
      <c r="K573" s="17"/>
      <c r="N573" s="9"/>
    </row>
    <row r="574" spans="5:14" x14ac:dyDescent="0.2">
      <c r="E574" s="10"/>
      <c r="F574" s="53"/>
      <c r="G574" s="9"/>
      <c r="J574" s="17"/>
      <c r="K574" s="17"/>
      <c r="N574" s="9"/>
    </row>
    <row r="575" spans="5:14" x14ac:dyDescent="0.2">
      <c r="E575" s="10"/>
      <c r="F575" s="53"/>
      <c r="G575" s="9"/>
      <c r="J575" s="17"/>
      <c r="K575" s="17"/>
      <c r="N575" s="9"/>
    </row>
    <row r="576" spans="5:14" x14ac:dyDescent="0.2">
      <c r="E576" s="10"/>
      <c r="F576" s="53"/>
      <c r="G576" s="9"/>
      <c r="J576" s="17"/>
      <c r="K576" s="17"/>
      <c r="N576" s="9"/>
    </row>
    <row r="577" spans="5:14" x14ac:dyDescent="0.2">
      <c r="E577" s="10"/>
      <c r="F577" s="53"/>
      <c r="G577" s="9"/>
      <c r="J577" s="17"/>
      <c r="K577" s="17"/>
      <c r="N577" s="9"/>
    </row>
    <row r="578" spans="5:14" x14ac:dyDescent="0.2">
      <c r="E578" s="10"/>
      <c r="F578" s="53"/>
      <c r="G578" s="9"/>
      <c r="J578" s="17"/>
      <c r="K578" s="17"/>
      <c r="N578" s="9"/>
    </row>
    <row r="579" spans="5:14" x14ac:dyDescent="0.2">
      <c r="E579" s="10"/>
      <c r="F579" s="53"/>
      <c r="G579" s="9"/>
      <c r="J579" s="17"/>
      <c r="K579" s="17"/>
      <c r="N579" s="9"/>
    </row>
    <row r="580" spans="5:14" x14ac:dyDescent="0.2">
      <c r="E580" s="10"/>
      <c r="F580" s="53"/>
      <c r="G580" s="9"/>
      <c r="J580" s="17"/>
      <c r="K580" s="17"/>
      <c r="N580" s="9"/>
    </row>
    <row r="581" spans="5:14" x14ac:dyDescent="0.2">
      <c r="E581" s="10"/>
      <c r="F581" s="53"/>
      <c r="G581" s="9"/>
      <c r="J581" s="17"/>
      <c r="K581" s="17"/>
      <c r="N581" s="9"/>
    </row>
    <row r="582" spans="5:14" x14ac:dyDescent="0.2">
      <c r="E582" s="10"/>
      <c r="F582" s="53"/>
      <c r="G582" s="9"/>
      <c r="J582" s="17"/>
      <c r="K582" s="17"/>
      <c r="N582" s="9"/>
    </row>
    <row r="583" spans="5:14" x14ac:dyDescent="0.2">
      <c r="E583" s="10"/>
      <c r="F583" s="53"/>
      <c r="G583" s="9"/>
      <c r="J583" s="17"/>
      <c r="K583" s="17"/>
      <c r="N583" s="9"/>
    </row>
    <row r="584" spans="5:14" x14ac:dyDescent="0.2">
      <c r="E584" s="10"/>
      <c r="F584" s="53"/>
      <c r="G584" s="9"/>
      <c r="J584" s="17"/>
      <c r="K584" s="17"/>
      <c r="N584" s="9"/>
    </row>
    <row r="585" spans="5:14" x14ac:dyDescent="0.2">
      <c r="E585" s="10"/>
      <c r="F585" s="53"/>
      <c r="G585" s="9"/>
      <c r="J585" s="17"/>
      <c r="K585" s="17"/>
      <c r="N585" s="9"/>
    </row>
    <row r="586" spans="5:14" x14ac:dyDescent="0.2">
      <c r="E586" s="10"/>
      <c r="F586" s="53"/>
      <c r="G586" s="9"/>
      <c r="J586" s="17"/>
      <c r="K586" s="17"/>
      <c r="N586" s="9"/>
    </row>
    <row r="587" spans="5:14" x14ac:dyDescent="0.2">
      <c r="E587" s="10"/>
      <c r="F587" s="53"/>
      <c r="G587" s="9"/>
      <c r="J587" s="17"/>
      <c r="K587" s="17"/>
      <c r="N587" s="9"/>
    </row>
    <row r="588" spans="5:14" x14ac:dyDescent="0.2">
      <c r="E588" s="10"/>
      <c r="F588" s="53"/>
      <c r="G588" s="9"/>
      <c r="J588" s="17"/>
      <c r="K588" s="17"/>
      <c r="N588" s="9"/>
    </row>
    <row r="589" spans="5:14" x14ac:dyDescent="0.2">
      <c r="E589" s="10"/>
      <c r="F589" s="53"/>
      <c r="G589" s="9"/>
      <c r="J589" s="17"/>
      <c r="K589" s="17"/>
      <c r="N589" s="9"/>
    </row>
    <row r="590" spans="5:14" x14ac:dyDescent="0.2">
      <c r="E590" s="10"/>
      <c r="F590" s="53"/>
      <c r="G590" s="9"/>
      <c r="J590" s="17"/>
      <c r="K590" s="17"/>
      <c r="N590" s="9"/>
    </row>
    <row r="591" spans="5:14" x14ac:dyDescent="0.2">
      <c r="E591" s="10"/>
      <c r="F591" s="53"/>
      <c r="G591" s="9"/>
      <c r="J591" s="17"/>
      <c r="K591" s="17"/>
      <c r="N591" s="9"/>
    </row>
    <row r="592" spans="5:14" x14ac:dyDescent="0.2">
      <c r="E592" s="10"/>
      <c r="F592" s="53"/>
      <c r="G592" s="9"/>
      <c r="J592" s="17"/>
      <c r="K592" s="17"/>
      <c r="N592" s="9"/>
    </row>
    <row r="593" spans="5:14" x14ac:dyDescent="0.2">
      <c r="E593" s="10"/>
      <c r="F593" s="53"/>
      <c r="G593" s="9"/>
      <c r="J593" s="17"/>
      <c r="K593" s="17"/>
      <c r="N593" s="9"/>
    </row>
    <row r="594" spans="5:14" x14ac:dyDescent="0.2">
      <c r="E594" s="10"/>
      <c r="F594" s="53"/>
      <c r="G594" s="9"/>
      <c r="J594" s="17"/>
      <c r="K594" s="17"/>
      <c r="N594" s="9"/>
    </row>
    <row r="595" spans="5:14" x14ac:dyDescent="0.2">
      <c r="E595" s="10"/>
      <c r="F595" s="53"/>
      <c r="G595" s="9"/>
      <c r="J595" s="17"/>
      <c r="K595" s="17"/>
      <c r="N595" s="9"/>
    </row>
    <row r="596" spans="5:14" x14ac:dyDescent="0.2">
      <c r="E596" s="10"/>
      <c r="F596" s="53"/>
      <c r="G596" s="9"/>
      <c r="J596" s="17"/>
      <c r="K596" s="17"/>
      <c r="N596" s="9"/>
    </row>
    <row r="597" spans="5:14" x14ac:dyDescent="0.2">
      <c r="E597" s="10"/>
      <c r="F597" s="53"/>
      <c r="G597" s="9"/>
      <c r="J597" s="17"/>
      <c r="K597" s="17"/>
      <c r="N597" s="9"/>
    </row>
    <row r="598" spans="5:14" x14ac:dyDescent="0.2">
      <c r="E598" s="10"/>
      <c r="F598" s="53"/>
      <c r="G598" s="9"/>
      <c r="J598" s="17"/>
      <c r="K598" s="17"/>
      <c r="N598" s="9"/>
    </row>
    <row r="599" spans="5:14" x14ac:dyDescent="0.2">
      <c r="E599" s="10"/>
      <c r="F599" s="53"/>
      <c r="G599" s="9"/>
      <c r="J599" s="17"/>
      <c r="K599" s="17"/>
      <c r="N599" s="9"/>
    </row>
    <row r="600" spans="5:14" x14ac:dyDescent="0.2">
      <c r="E600" s="10"/>
      <c r="F600" s="53"/>
      <c r="G600" s="9"/>
      <c r="J600" s="17"/>
      <c r="K600" s="17"/>
      <c r="N600" s="9"/>
    </row>
    <row r="601" spans="5:14" x14ac:dyDescent="0.2">
      <c r="E601" s="10"/>
      <c r="F601" s="53"/>
      <c r="G601" s="9"/>
      <c r="J601" s="17"/>
      <c r="K601" s="17"/>
      <c r="N601" s="9"/>
    </row>
    <row r="602" spans="5:14" x14ac:dyDescent="0.2">
      <c r="E602" s="10"/>
      <c r="F602" s="53"/>
      <c r="G602" s="9"/>
      <c r="J602" s="17"/>
      <c r="K602" s="17"/>
      <c r="N602" s="9"/>
    </row>
    <row r="603" spans="5:14" x14ac:dyDescent="0.2">
      <c r="E603" s="10"/>
      <c r="F603" s="53"/>
      <c r="G603" s="9"/>
      <c r="J603" s="17"/>
      <c r="K603" s="17"/>
      <c r="N603" s="9"/>
    </row>
    <row r="604" spans="5:14" x14ac:dyDescent="0.2">
      <c r="E604" s="10"/>
      <c r="F604" s="53"/>
      <c r="G604" s="9"/>
      <c r="J604" s="17"/>
      <c r="K604" s="17"/>
      <c r="N604" s="9"/>
    </row>
    <row r="605" spans="5:14" x14ac:dyDescent="0.2">
      <c r="E605" s="10"/>
      <c r="F605" s="53"/>
      <c r="G605" s="9"/>
      <c r="J605" s="17"/>
      <c r="K605" s="17"/>
      <c r="N605" s="9"/>
    </row>
    <row r="606" spans="5:14" x14ac:dyDescent="0.2">
      <c r="E606" s="10"/>
      <c r="F606" s="53"/>
      <c r="G606" s="9"/>
      <c r="J606" s="17"/>
      <c r="K606" s="17"/>
      <c r="N606" s="9"/>
    </row>
    <row r="607" spans="5:14" x14ac:dyDescent="0.2">
      <c r="E607" s="10"/>
      <c r="F607" s="53"/>
      <c r="G607" s="9"/>
      <c r="J607" s="17"/>
      <c r="K607" s="17"/>
      <c r="N607" s="9"/>
    </row>
    <row r="608" spans="5:14" x14ac:dyDescent="0.2">
      <c r="E608" s="10"/>
      <c r="F608" s="53"/>
      <c r="G608" s="9"/>
      <c r="J608" s="17"/>
      <c r="K608" s="17"/>
      <c r="N608" s="9"/>
    </row>
    <row r="609" spans="5:14" x14ac:dyDescent="0.2">
      <c r="E609" s="10"/>
      <c r="F609" s="53"/>
      <c r="G609" s="9"/>
      <c r="J609" s="17"/>
      <c r="K609" s="17"/>
      <c r="N609" s="9"/>
    </row>
    <row r="610" spans="5:14" x14ac:dyDescent="0.2">
      <c r="E610" s="10"/>
      <c r="F610" s="53"/>
      <c r="G610" s="9"/>
      <c r="J610" s="17"/>
      <c r="K610" s="17"/>
      <c r="N610" s="9"/>
    </row>
    <row r="611" spans="5:14" x14ac:dyDescent="0.2">
      <c r="E611" s="10"/>
      <c r="F611" s="53"/>
      <c r="G611" s="9"/>
      <c r="J611" s="17"/>
      <c r="K611" s="17"/>
      <c r="N611" s="9"/>
    </row>
    <row r="612" spans="5:14" x14ac:dyDescent="0.2">
      <c r="E612" s="10"/>
      <c r="F612" s="53"/>
      <c r="G612" s="9"/>
      <c r="J612" s="17"/>
      <c r="K612" s="17"/>
      <c r="N612" s="9"/>
    </row>
    <row r="613" spans="5:14" x14ac:dyDescent="0.2">
      <c r="E613" s="10"/>
      <c r="F613" s="53"/>
      <c r="G613" s="9"/>
      <c r="J613" s="17"/>
      <c r="K613" s="17"/>
      <c r="N613" s="9"/>
    </row>
    <row r="614" spans="5:14" x14ac:dyDescent="0.2">
      <c r="E614" s="10"/>
      <c r="F614" s="53"/>
      <c r="G614" s="9"/>
      <c r="J614" s="17"/>
      <c r="K614" s="17"/>
      <c r="N614" s="9"/>
    </row>
    <row r="615" spans="5:14" x14ac:dyDescent="0.2">
      <c r="E615" s="10"/>
      <c r="F615" s="53"/>
      <c r="G615" s="9"/>
      <c r="J615" s="17"/>
      <c r="K615" s="17"/>
      <c r="N615" s="9"/>
    </row>
    <row r="616" spans="5:14" x14ac:dyDescent="0.2">
      <c r="E616" s="10"/>
      <c r="F616" s="53"/>
      <c r="G616" s="9"/>
      <c r="J616" s="17"/>
      <c r="K616" s="17"/>
      <c r="N616" s="9"/>
    </row>
    <row r="617" spans="5:14" x14ac:dyDescent="0.2">
      <c r="E617" s="10"/>
      <c r="F617" s="53"/>
      <c r="G617" s="9"/>
      <c r="J617" s="17"/>
      <c r="K617" s="17"/>
      <c r="N617" s="9"/>
    </row>
    <row r="618" spans="5:14" x14ac:dyDescent="0.2">
      <c r="E618" s="10"/>
      <c r="F618" s="53"/>
      <c r="G618" s="9"/>
      <c r="J618" s="17"/>
      <c r="K618" s="17"/>
      <c r="N618" s="9"/>
    </row>
    <row r="619" spans="5:14" x14ac:dyDescent="0.2">
      <c r="E619" s="10"/>
      <c r="F619" s="53"/>
      <c r="G619" s="9"/>
      <c r="J619" s="17"/>
      <c r="K619" s="17"/>
      <c r="N619" s="9"/>
    </row>
    <row r="620" spans="5:14" x14ac:dyDescent="0.2">
      <c r="E620" s="10"/>
      <c r="F620" s="53"/>
      <c r="G620" s="9"/>
      <c r="J620" s="17"/>
      <c r="K620" s="17"/>
      <c r="N620" s="9"/>
    </row>
    <row r="621" spans="5:14" x14ac:dyDescent="0.2">
      <c r="E621" s="10"/>
      <c r="F621" s="53"/>
      <c r="G621" s="9"/>
      <c r="J621" s="17"/>
      <c r="K621" s="17"/>
      <c r="N621" s="9"/>
    </row>
    <row r="622" spans="5:14" x14ac:dyDescent="0.2">
      <c r="E622" s="10"/>
      <c r="F622" s="53"/>
      <c r="G622" s="9"/>
      <c r="J622" s="17"/>
      <c r="K622" s="17"/>
      <c r="N622" s="9"/>
    </row>
    <row r="623" spans="5:14" x14ac:dyDescent="0.2">
      <c r="E623" s="10"/>
      <c r="F623" s="53"/>
      <c r="G623" s="9"/>
      <c r="J623" s="17"/>
      <c r="K623" s="17"/>
      <c r="N623" s="9"/>
    </row>
    <row r="624" spans="5:14" x14ac:dyDescent="0.2">
      <c r="E624" s="10"/>
      <c r="F624" s="53"/>
      <c r="G624" s="9"/>
      <c r="J624" s="17"/>
      <c r="K624" s="17"/>
      <c r="N624" s="9"/>
    </row>
    <row r="625" spans="5:14" x14ac:dyDescent="0.2">
      <c r="E625" s="10"/>
      <c r="F625" s="53"/>
      <c r="G625" s="9"/>
      <c r="J625" s="17"/>
      <c r="K625" s="17"/>
      <c r="N625" s="9"/>
    </row>
    <row r="626" spans="5:14" x14ac:dyDescent="0.2">
      <c r="E626" s="10"/>
      <c r="F626" s="53"/>
      <c r="G626" s="9"/>
      <c r="J626" s="17"/>
      <c r="K626" s="17"/>
      <c r="N626" s="9"/>
    </row>
    <row r="627" spans="5:14" x14ac:dyDescent="0.2">
      <c r="E627" s="10"/>
      <c r="F627" s="53"/>
      <c r="G627" s="9"/>
      <c r="J627" s="17"/>
      <c r="K627" s="17"/>
      <c r="N627" s="9"/>
    </row>
    <row r="628" spans="5:14" x14ac:dyDescent="0.2">
      <c r="E628" s="10"/>
      <c r="F628" s="53"/>
      <c r="G628" s="9"/>
      <c r="J628" s="17"/>
      <c r="K628" s="17"/>
      <c r="N628" s="9"/>
    </row>
    <row r="629" spans="5:14" x14ac:dyDescent="0.2">
      <c r="E629" s="10"/>
      <c r="F629" s="53"/>
      <c r="G629" s="9"/>
      <c r="J629" s="17"/>
      <c r="K629" s="17"/>
      <c r="N629" s="9"/>
    </row>
    <row r="630" spans="5:14" x14ac:dyDescent="0.2">
      <c r="E630" s="10"/>
      <c r="F630" s="53"/>
      <c r="G630" s="9"/>
      <c r="J630" s="17"/>
      <c r="K630" s="17"/>
      <c r="N630" s="9"/>
    </row>
    <row r="631" spans="5:14" x14ac:dyDescent="0.2">
      <c r="E631" s="10"/>
      <c r="F631" s="53"/>
      <c r="G631" s="9"/>
      <c r="J631" s="17"/>
      <c r="K631" s="17"/>
      <c r="N631" s="9"/>
    </row>
    <row r="632" spans="5:14" x14ac:dyDescent="0.2">
      <c r="E632" s="10"/>
      <c r="F632" s="53"/>
      <c r="G632" s="9"/>
      <c r="J632" s="17"/>
      <c r="K632" s="17"/>
      <c r="N632" s="9"/>
    </row>
    <row r="633" spans="5:14" x14ac:dyDescent="0.2">
      <c r="E633" s="10"/>
      <c r="F633" s="53"/>
      <c r="G633" s="9"/>
      <c r="J633" s="17"/>
      <c r="K633" s="17"/>
      <c r="N633" s="9"/>
    </row>
    <row r="634" spans="5:14" x14ac:dyDescent="0.2">
      <c r="E634" s="10"/>
      <c r="F634" s="53"/>
      <c r="G634" s="9"/>
      <c r="J634" s="17"/>
      <c r="K634" s="17"/>
      <c r="N634" s="9"/>
    </row>
    <row r="635" spans="5:14" x14ac:dyDescent="0.2">
      <c r="E635" s="10"/>
      <c r="F635" s="53"/>
      <c r="G635" s="9"/>
      <c r="J635" s="17"/>
      <c r="K635" s="17"/>
      <c r="N635" s="9"/>
    </row>
    <row r="636" spans="5:14" x14ac:dyDescent="0.2">
      <c r="E636" s="10"/>
      <c r="F636" s="53"/>
      <c r="G636" s="9"/>
      <c r="J636" s="17"/>
      <c r="K636" s="17"/>
      <c r="N636" s="9"/>
    </row>
    <row r="637" spans="5:14" x14ac:dyDescent="0.2">
      <c r="E637" s="10"/>
      <c r="F637" s="53"/>
      <c r="G637" s="9"/>
      <c r="J637" s="17"/>
      <c r="K637" s="17"/>
      <c r="N637" s="9"/>
    </row>
    <row r="638" spans="5:14" x14ac:dyDescent="0.2">
      <c r="E638" s="10"/>
      <c r="F638" s="53"/>
      <c r="G638" s="9"/>
      <c r="J638" s="17"/>
      <c r="K638" s="17"/>
      <c r="N638" s="9"/>
    </row>
    <row r="639" spans="5:14" x14ac:dyDescent="0.2">
      <c r="E639" s="10"/>
      <c r="F639" s="53"/>
      <c r="G639" s="9"/>
      <c r="J639" s="17"/>
      <c r="K639" s="17"/>
      <c r="N639" s="9"/>
    </row>
    <row r="640" spans="5:14" x14ac:dyDescent="0.2">
      <c r="E640" s="10"/>
      <c r="F640" s="53"/>
      <c r="G640" s="9"/>
      <c r="J640" s="17"/>
      <c r="K640" s="17"/>
      <c r="N640" s="9"/>
    </row>
    <row r="641" spans="5:14" x14ac:dyDescent="0.2">
      <c r="E641" s="10"/>
      <c r="F641" s="53"/>
      <c r="G641" s="9"/>
      <c r="J641" s="17"/>
      <c r="K641" s="17"/>
      <c r="N641" s="9"/>
    </row>
    <row r="642" spans="5:14" x14ac:dyDescent="0.2">
      <c r="E642" s="10"/>
      <c r="F642" s="53"/>
      <c r="G642" s="9"/>
      <c r="J642" s="17"/>
      <c r="K642" s="17"/>
      <c r="N642" s="9"/>
    </row>
    <row r="643" spans="5:14" x14ac:dyDescent="0.2">
      <c r="E643" s="10"/>
      <c r="F643" s="53"/>
      <c r="G643" s="9"/>
      <c r="J643" s="17"/>
      <c r="K643" s="17"/>
      <c r="N643" s="9"/>
    </row>
    <row r="644" spans="5:14" x14ac:dyDescent="0.2">
      <c r="E644" s="10"/>
      <c r="F644" s="53"/>
      <c r="G644" s="9"/>
      <c r="J644" s="17"/>
      <c r="K644" s="17"/>
      <c r="N644" s="9"/>
    </row>
    <row r="645" spans="5:14" x14ac:dyDescent="0.2">
      <c r="E645" s="10"/>
      <c r="F645" s="53"/>
      <c r="G645" s="9"/>
      <c r="J645" s="17"/>
      <c r="K645" s="17"/>
      <c r="N645" s="9"/>
    </row>
    <row r="646" spans="5:14" x14ac:dyDescent="0.2">
      <c r="E646" s="10"/>
      <c r="F646" s="53"/>
      <c r="G646" s="9"/>
      <c r="J646" s="17"/>
      <c r="K646" s="17"/>
      <c r="N646" s="9"/>
    </row>
    <row r="647" spans="5:14" x14ac:dyDescent="0.2">
      <c r="E647" s="10"/>
      <c r="F647" s="53"/>
      <c r="G647" s="9"/>
      <c r="J647" s="17"/>
      <c r="K647" s="17"/>
      <c r="N647" s="9"/>
    </row>
    <row r="648" spans="5:14" x14ac:dyDescent="0.2">
      <c r="E648" s="10"/>
      <c r="F648" s="53"/>
      <c r="G648" s="9"/>
      <c r="J648" s="17"/>
      <c r="K648" s="17"/>
      <c r="N648" s="9"/>
    </row>
    <row r="649" spans="5:14" x14ac:dyDescent="0.2">
      <c r="E649" s="10"/>
      <c r="F649" s="53"/>
      <c r="G649" s="9"/>
      <c r="J649" s="17"/>
      <c r="K649" s="17"/>
      <c r="N649" s="9"/>
    </row>
    <row r="650" spans="5:14" x14ac:dyDescent="0.2">
      <c r="E650" s="10"/>
      <c r="F650" s="53"/>
      <c r="G650" s="9"/>
      <c r="J650" s="17"/>
      <c r="K650" s="17"/>
      <c r="N650" s="9"/>
    </row>
    <row r="651" spans="5:14" x14ac:dyDescent="0.2">
      <c r="E651" s="10"/>
      <c r="F651" s="53"/>
      <c r="G651" s="9"/>
      <c r="J651" s="17"/>
      <c r="K651" s="17"/>
      <c r="N651" s="9"/>
    </row>
    <row r="652" spans="5:14" x14ac:dyDescent="0.2">
      <c r="E652" s="10"/>
      <c r="F652" s="53"/>
      <c r="G652" s="9"/>
      <c r="J652" s="17"/>
      <c r="K652" s="17"/>
      <c r="N652" s="9"/>
    </row>
    <row r="653" spans="5:14" x14ac:dyDescent="0.2">
      <c r="E653" s="10"/>
      <c r="F653" s="53"/>
      <c r="G653" s="9"/>
      <c r="J653" s="17"/>
      <c r="K653" s="17"/>
      <c r="N653" s="9"/>
    </row>
    <row r="654" spans="5:14" x14ac:dyDescent="0.2">
      <c r="E654" s="10"/>
      <c r="F654" s="53"/>
      <c r="G654" s="9"/>
      <c r="J654" s="17"/>
      <c r="K654" s="17"/>
      <c r="N654" s="9"/>
    </row>
    <row r="655" spans="5:14" x14ac:dyDescent="0.2">
      <c r="E655" s="10"/>
      <c r="F655" s="53"/>
      <c r="G655" s="9"/>
      <c r="J655" s="17"/>
      <c r="K655" s="17"/>
      <c r="N655" s="9"/>
    </row>
    <row r="656" spans="5:14" x14ac:dyDescent="0.2">
      <c r="E656" s="10"/>
      <c r="F656" s="53"/>
      <c r="G656" s="9"/>
      <c r="J656" s="17"/>
      <c r="K656" s="17"/>
      <c r="N656" s="9"/>
    </row>
    <row r="657" spans="5:14" x14ac:dyDescent="0.2">
      <c r="E657" s="10"/>
      <c r="F657" s="53"/>
      <c r="G657" s="9"/>
      <c r="J657" s="17"/>
      <c r="K657" s="17"/>
      <c r="N657" s="9"/>
    </row>
    <row r="658" spans="5:14" x14ac:dyDescent="0.2">
      <c r="E658" s="10"/>
      <c r="F658" s="53"/>
      <c r="G658" s="9"/>
      <c r="J658" s="17"/>
      <c r="K658" s="17"/>
      <c r="N658" s="9"/>
    </row>
    <row r="659" spans="5:14" x14ac:dyDescent="0.2">
      <c r="E659" s="10"/>
      <c r="F659" s="53"/>
      <c r="G659" s="9"/>
      <c r="J659" s="17"/>
      <c r="K659" s="17"/>
      <c r="N659" s="9"/>
    </row>
    <row r="660" spans="5:14" x14ac:dyDescent="0.2">
      <c r="E660" s="10"/>
      <c r="F660" s="53"/>
      <c r="G660" s="9"/>
      <c r="J660" s="17"/>
      <c r="K660" s="17"/>
      <c r="N660" s="9"/>
    </row>
    <row r="661" spans="5:14" x14ac:dyDescent="0.2">
      <c r="E661" s="10"/>
      <c r="F661" s="53"/>
      <c r="G661" s="9"/>
      <c r="J661" s="17"/>
      <c r="K661" s="17"/>
      <c r="N661" s="9"/>
    </row>
    <row r="662" spans="5:14" x14ac:dyDescent="0.2">
      <c r="E662" s="10"/>
      <c r="F662" s="53"/>
      <c r="G662" s="9"/>
      <c r="J662" s="17"/>
      <c r="K662" s="17"/>
      <c r="N662" s="9"/>
    </row>
    <row r="663" spans="5:14" x14ac:dyDescent="0.2">
      <c r="E663" s="10"/>
      <c r="F663" s="53"/>
      <c r="G663" s="9"/>
      <c r="J663" s="17"/>
      <c r="K663" s="17"/>
      <c r="N663" s="9"/>
    </row>
    <row r="664" spans="5:14" x14ac:dyDescent="0.2">
      <c r="E664" s="10"/>
      <c r="F664" s="53"/>
      <c r="G664" s="9"/>
      <c r="J664" s="17"/>
      <c r="K664" s="17"/>
      <c r="N664" s="9"/>
    </row>
    <row r="665" spans="5:14" x14ac:dyDescent="0.2">
      <c r="E665" s="10"/>
      <c r="F665" s="53"/>
      <c r="G665" s="9"/>
      <c r="J665" s="17"/>
      <c r="K665" s="17"/>
      <c r="N665" s="9"/>
    </row>
    <row r="666" spans="5:14" x14ac:dyDescent="0.2">
      <c r="E666" s="10"/>
      <c r="F666" s="53"/>
      <c r="G666" s="9"/>
      <c r="J666" s="17"/>
      <c r="K666" s="17"/>
      <c r="N666" s="9"/>
    </row>
    <row r="667" spans="5:14" x14ac:dyDescent="0.2">
      <c r="E667" s="10"/>
      <c r="F667" s="53"/>
      <c r="G667" s="9"/>
      <c r="J667" s="17"/>
      <c r="K667" s="17"/>
      <c r="N667" s="9"/>
    </row>
    <row r="668" spans="5:14" x14ac:dyDescent="0.2">
      <c r="E668" s="10"/>
      <c r="F668" s="53"/>
      <c r="G668" s="9"/>
      <c r="J668" s="17"/>
      <c r="K668" s="17"/>
      <c r="N668" s="9"/>
    </row>
    <row r="669" spans="5:14" x14ac:dyDescent="0.2">
      <c r="E669" s="10"/>
      <c r="F669" s="53"/>
      <c r="G669" s="9"/>
      <c r="J669" s="17"/>
      <c r="K669" s="17"/>
      <c r="N669" s="9"/>
    </row>
    <row r="670" spans="5:14" x14ac:dyDescent="0.2">
      <c r="E670" s="10"/>
      <c r="F670" s="53"/>
      <c r="G670" s="9"/>
      <c r="J670" s="17"/>
      <c r="K670" s="17"/>
      <c r="N670" s="9"/>
    </row>
    <row r="671" spans="5:14" x14ac:dyDescent="0.2">
      <c r="E671" s="10"/>
      <c r="F671" s="53"/>
      <c r="G671" s="9"/>
      <c r="J671" s="17"/>
      <c r="K671" s="17"/>
      <c r="N671" s="9"/>
    </row>
    <row r="672" spans="5:14" x14ac:dyDescent="0.2">
      <c r="E672" s="10"/>
      <c r="F672" s="53"/>
      <c r="G672" s="9"/>
      <c r="J672" s="17"/>
      <c r="K672" s="17"/>
      <c r="N672" s="9"/>
    </row>
    <row r="673" spans="5:14" x14ac:dyDescent="0.2">
      <c r="E673" s="10"/>
      <c r="F673" s="53"/>
      <c r="G673" s="9"/>
      <c r="J673" s="17"/>
      <c r="K673" s="17"/>
      <c r="N673" s="9"/>
    </row>
    <row r="674" spans="5:14" x14ac:dyDescent="0.2">
      <c r="E674" s="10"/>
      <c r="F674" s="53"/>
      <c r="G674" s="9"/>
      <c r="J674" s="17"/>
      <c r="K674" s="17"/>
      <c r="N674" s="9"/>
    </row>
    <row r="675" spans="5:14" x14ac:dyDescent="0.2">
      <c r="E675" s="10"/>
      <c r="F675" s="53"/>
      <c r="G675" s="9"/>
      <c r="J675" s="17"/>
      <c r="K675" s="17"/>
      <c r="N675" s="9"/>
    </row>
    <row r="676" spans="5:14" x14ac:dyDescent="0.2">
      <c r="E676" s="10"/>
      <c r="F676" s="53"/>
      <c r="G676" s="9"/>
      <c r="J676" s="17"/>
      <c r="K676" s="17"/>
      <c r="N676" s="9"/>
    </row>
    <row r="677" spans="5:14" x14ac:dyDescent="0.2">
      <c r="E677" s="10"/>
      <c r="F677" s="53"/>
      <c r="G677" s="9"/>
      <c r="J677" s="17"/>
      <c r="K677" s="17"/>
      <c r="N677" s="9"/>
    </row>
    <row r="678" spans="5:14" x14ac:dyDescent="0.2">
      <c r="E678" s="10"/>
      <c r="F678" s="53"/>
      <c r="G678" s="9"/>
      <c r="J678" s="17"/>
      <c r="K678" s="17"/>
      <c r="N678" s="9"/>
    </row>
    <row r="679" spans="5:14" x14ac:dyDescent="0.2">
      <c r="E679" s="10"/>
      <c r="F679" s="53"/>
      <c r="G679" s="9"/>
      <c r="J679" s="17"/>
      <c r="K679" s="17"/>
      <c r="N679" s="9"/>
    </row>
    <row r="680" spans="5:14" x14ac:dyDescent="0.2">
      <c r="E680" s="10"/>
      <c r="F680" s="53"/>
      <c r="G680" s="9"/>
      <c r="J680" s="17"/>
      <c r="K680" s="17"/>
      <c r="N680" s="9"/>
    </row>
    <row r="681" spans="5:14" x14ac:dyDescent="0.2">
      <c r="J681" s="17"/>
      <c r="K681" s="17"/>
    </row>
    <row r="682" spans="5:14" ht="12.75" x14ac:dyDescent="0.2">
      <c r="E682" s="54"/>
      <c r="F682" s="55"/>
      <c r="G682" s="56">
        <f>SUM(G14:G681)</f>
        <v>0</v>
      </c>
      <c r="N682" s="56">
        <f>SUM(N14:N681)</f>
        <v>0</v>
      </c>
    </row>
  </sheetData>
  <mergeCells count="5">
    <mergeCell ref="I5:K5"/>
    <mergeCell ref="M5:M6"/>
    <mergeCell ref="B5:B6"/>
    <mergeCell ref="C5:C6"/>
    <mergeCell ref="E5:G5"/>
  </mergeCells>
  <dataValidations disablePrompts="1" count="2">
    <dataValidation type="list" allowBlank="1" showInputMessage="1" showErrorMessage="1" sqref="M24:M26 L31:L679 M62:M679 L28:M29 L14:L27" xr:uid="{D9CBA345-E63C-494A-9D23-F3E1D304F01A}">
      <formula1>Taxes</formula1>
    </dataValidation>
    <dataValidation type="list" allowBlank="1" showInputMessage="1" showErrorMessage="1" sqref="B311:C680" xr:uid="{D8CB33E8-E879-4BB6-B800-D198A18304A1}">
      <formula1>Compadjust</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2435E-4235-4701-AADF-200C08369D42}">
  <dimension ref="A1:N661"/>
  <sheetViews>
    <sheetView showGridLines="0" zoomScale="85" zoomScaleNormal="85" workbookViewId="0">
      <selection activeCell="M7" sqref="M7"/>
    </sheetView>
  </sheetViews>
  <sheetFormatPr defaultColWidth="11.56640625" defaultRowHeight="10.5" x14ac:dyDescent="0.2"/>
  <cols>
    <col min="1" max="1" width="2.15234375" style="17" bestFit="1" customWidth="1"/>
    <col min="2" max="2" width="45.87109375" style="20" bestFit="1" customWidth="1"/>
    <col min="3" max="3" width="6.58984375" style="36" customWidth="1"/>
    <col min="4" max="4" width="0.94140625" style="13" customWidth="1"/>
    <col min="5" max="5" width="27.171875" style="13" bestFit="1" customWidth="1"/>
    <col min="6" max="6" width="9.28125" style="10" bestFit="1" customWidth="1"/>
    <col min="7" max="7" width="19.90625" style="13" bestFit="1" customWidth="1"/>
    <col min="8" max="8" width="0.94140625" style="13" customWidth="1"/>
    <col min="9" max="9" width="19.50390625" style="13" bestFit="1" customWidth="1"/>
    <col min="10" max="10" width="9.4140625" style="13" bestFit="1" customWidth="1"/>
    <col min="11" max="11" width="19.50390625" style="13" bestFit="1" customWidth="1"/>
    <col min="12" max="12" width="0.94140625" style="13" customWidth="1"/>
    <col min="13" max="13" width="18.16015625" style="13" bestFit="1" customWidth="1"/>
    <col min="14" max="14" width="6.72265625" style="13" bestFit="1" customWidth="1"/>
    <col min="15" max="16384" width="11.56640625" style="13"/>
  </cols>
  <sheetData>
    <row r="1" spans="2:14" ht="19.5" x14ac:dyDescent="0.1">
      <c r="B1" s="11" t="s">
        <v>3380</v>
      </c>
      <c r="C1" s="11"/>
      <c r="E1" s="14" t="s">
        <v>32</v>
      </c>
      <c r="F1" s="12" t="s">
        <v>3381</v>
      </c>
      <c r="G1" s="15">
        <v>703457069</v>
      </c>
      <c r="J1" s="12" t="s">
        <v>3382</v>
      </c>
      <c r="K1" s="16">
        <v>2021</v>
      </c>
    </row>
    <row r="2" spans="2:14" x14ac:dyDescent="0.2">
      <c r="C2" s="20"/>
      <c r="F2" s="13"/>
      <c r="J2" s="21"/>
      <c r="M2" s="22"/>
    </row>
    <row r="3" spans="2:14" ht="13.5" customHeight="1" x14ac:dyDescent="0.2">
      <c r="B3" s="427" t="s">
        <v>3383</v>
      </c>
      <c r="C3" s="427" t="s">
        <v>3384</v>
      </c>
      <c r="E3" s="425" t="s">
        <v>3385</v>
      </c>
      <c r="F3" s="426"/>
      <c r="G3" s="427"/>
      <c r="I3" s="425" t="s">
        <v>3386</v>
      </c>
      <c r="J3" s="426"/>
      <c r="K3" s="427"/>
      <c r="M3" s="426" t="s">
        <v>3387</v>
      </c>
    </row>
    <row r="4" spans="2:14" ht="11.25" thickBot="1" x14ac:dyDescent="0.25">
      <c r="B4" s="430"/>
      <c r="C4" s="430"/>
      <c r="E4" s="18" t="s">
        <v>3388</v>
      </c>
      <c r="F4" s="19" t="s">
        <v>3389</v>
      </c>
      <c r="G4" s="27" t="s">
        <v>3390</v>
      </c>
      <c r="I4" s="18" t="s">
        <v>3388</v>
      </c>
      <c r="J4" s="19" t="s">
        <v>3389</v>
      </c>
      <c r="K4" s="27" t="s">
        <v>3390</v>
      </c>
      <c r="M4" s="428"/>
    </row>
    <row r="5" spans="2:14" ht="13.5" customHeight="1" x14ac:dyDescent="0.2">
      <c r="B5" s="193" t="s">
        <v>3391</v>
      </c>
      <c r="C5" s="24"/>
      <c r="E5" s="185">
        <f>SUM(E6:E7)</f>
        <v>312806872716</v>
      </c>
      <c r="F5" s="185">
        <f>SUM(F6:F7)</f>
        <v>0</v>
      </c>
      <c r="G5" s="185">
        <f>SUM(G6:G7)</f>
        <v>312806872716</v>
      </c>
      <c r="H5" s="183"/>
      <c r="I5" s="185">
        <f>SUM(I6:I7)</f>
        <v>312806872716</v>
      </c>
      <c r="J5" s="185">
        <f>SUM(J6:J7)</f>
        <v>0</v>
      </c>
      <c r="K5" s="185">
        <f>SUM(K6:K7)</f>
        <v>312806872716</v>
      </c>
      <c r="L5" s="183"/>
      <c r="M5" s="185">
        <f>SUM(M6:M7)</f>
        <v>0</v>
      </c>
    </row>
    <row r="6" spans="2:14" x14ac:dyDescent="0.1">
      <c r="B6" s="29" t="s">
        <v>3400</v>
      </c>
      <c r="C6" s="29" t="s">
        <v>3401</v>
      </c>
      <c r="E6" s="192">
        <v>226407822722</v>
      </c>
      <c r="F6" s="184">
        <v>0</v>
      </c>
      <c r="G6" s="184">
        <v>226407822722</v>
      </c>
      <c r="H6" s="183"/>
      <c r="I6" s="192">
        <v>226407822722</v>
      </c>
      <c r="J6" s="184">
        <v>0</v>
      </c>
      <c r="K6" s="184">
        <v>226407822722</v>
      </c>
      <c r="L6" s="183"/>
      <c r="M6" s="184">
        <f t="shared" ref="M6:M7" si="0">G6-K6</f>
        <v>0</v>
      </c>
      <c r="N6" s="26"/>
    </row>
    <row r="7" spans="2:14" x14ac:dyDescent="0.1">
      <c r="B7" s="29" t="s">
        <v>3402</v>
      </c>
      <c r="C7" s="29" t="s">
        <v>3403</v>
      </c>
      <c r="E7" s="184">
        <v>86399049994</v>
      </c>
      <c r="F7" s="184">
        <v>0</v>
      </c>
      <c r="G7" s="184">
        <v>86399049994</v>
      </c>
      <c r="H7" s="183"/>
      <c r="I7" s="184">
        <v>86399049994</v>
      </c>
      <c r="J7" s="184">
        <v>0</v>
      </c>
      <c r="K7" s="184">
        <v>86399049994</v>
      </c>
      <c r="L7" s="183"/>
      <c r="M7" s="184">
        <f t="shared" si="0"/>
        <v>0</v>
      </c>
      <c r="N7" s="26"/>
    </row>
    <row r="8" spans="2:14" x14ac:dyDescent="0.2">
      <c r="B8" s="33" t="s">
        <v>3399</v>
      </c>
      <c r="C8" s="33"/>
      <c r="E8" s="186">
        <f>E5</f>
        <v>312806872716</v>
      </c>
      <c r="F8" s="186">
        <f t="shared" ref="F8:G8" si="1">F5</f>
        <v>0</v>
      </c>
      <c r="G8" s="186">
        <f t="shared" si="1"/>
        <v>312806872716</v>
      </c>
      <c r="H8" s="187"/>
      <c r="I8" s="186">
        <f t="shared" ref="I8:K8" si="2">I5</f>
        <v>312806872716</v>
      </c>
      <c r="J8" s="186">
        <f t="shared" si="2"/>
        <v>0</v>
      </c>
      <c r="K8" s="186">
        <f t="shared" si="2"/>
        <v>312806872716</v>
      </c>
      <c r="L8" s="187"/>
      <c r="M8" s="186">
        <f t="shared" ref="M8" si="3">M5</f>
        <v>0</v>
      </c>
    </row>
    <row r="9" spans="2:14" x14ac:dyDescent="0.2">
      <c r="C9" s="20"/>
      <c r="D9" s="20"/>
      <c r="E9" s="20"/>
      <c r="F9" s="20"/>
      <c r="G9" s="20"/>
      <c r="H9" s="20"/>
      <c r="I9" s="20"/>
      <c r="J9" s="20"/>
      <c r="K9" s="20"/>
      <c r="M9" s="32"/>
    </row>
    <row r="10" spans="2:14" x14ac:dyDescent="0.2">
      <c r="C10" s="20"/>
      <c r="D10" s="20"/>
      <c r="E10" s="20"/>
      <c r="F10" s="20"/>
      <c r="G10" s="20"/>
      <c r="H10" s="20"/>
      <c r="I10" s="20"/>
      <c r="J10" s="20"/>
      <c r="K10" s="20"/>
      <c r="N10" s="10"/>
    </row>
    <row r="11" spans="2:14" x14ac:dyDescent="0.2">
      <c r="C11" s="20"/>
      <c r="D11" s="20"/>
      <c r="E11" s="20"/>
      <c r="F11" s="20"/>
      <c r="G11" s="20"/>
      <c r="H11" s="20"/>
      <c r="I11" s="20"/>
      <c r="J11" s="20"/>
      <c r="K11" s="20"/>
      <c r="N11" s="10"/>
    </row>
    <row r="12" spans="2:14" x14ac:dyDescent="0.2">
      <c r="C12" s="20"/>
      <c r="D12" s="20"/>
      <c r="E12" s="20"/>
      <c r="F12" s="20"/>
      <c r="G12" s="20"/>
      <c r="H12" s="20"/>
      <c r="I12" s="20"/>
      <c r="J12" s="20"/>
      <c r="K12" s="20"/>
      <c r="N12" s="10"/>
    </row>
    <row r="13" spans="2:14" x14ac:dyDescent="0.2">
      <c r="C13" s="20"/>
      <c r="D13" s="20"/>
      <c r="E13" s="20"/>
      <c r="F13" s="20"/>
      <c r="G13" s="20"/>
      <c r="H13" s="20"/>
      <c r="I13" s="20"/>
      <c r="J13" s="20"/>
      <c r="K13" s="20"/>
      <c r="N13" s="10"/>
    </row>
    <row r="14" spans="2:14" x14ac:dyDescent="0.2">
      <c r="C14" s="20"/>
      <c r="D14" s="20"/>
      <c r="E14" s="20"/>
      <c r="F14" s="20"/>
      <c r="G14" s="20"/>
      <c r="H14" s="20"/>
      <c r="I14" s="20"/>
      <c r="J14" s="20"/>
      <c r="K14" s="20"/>
      <c r="N14" s="10"/>
    </row>
    <row r="15" spans="2:14" x14ac:dyDescent="0.2">
      <c r="C15" s="20"/>
      <c r="D15" s="20"/>
      <c r="E15" s="20"/>
      <c r="F15" s="20"/>
      <c r="G15" s="20"/>
      <c r="H15" s="20"/>
      <c r="I15" s="20"/>
      <c r="J15" s="20"/>
      <c r="K15" s="20"/>
      <c r="N15" s="10"/>
    </row>
    <row r="16" spans="2:14" x14ac:dyDescent="0.2">
      <c r="C16" s="20"/>
      <c r="D16" s="20"/>
      <c r="E16" s="20"/>
      <c r="F16" s="20"/>
      <c r="G16" s="20"/>
      <c r="H16" s="20"/>
      <c r="I16" s="20"/>
      <c r="J16" s="20"/>
      <c r="K16" s="20"/>
      <c r="N16" s="10"/>
    </row>
    <row r="17" spans="3:14" x14ac:dyDescent="0.2">
      <c r="C17" s="20"/>
      <c r="D17" s="20"/>
      <c r="E17" s="20"/>
      <c r="F17" s="20"/>
      <c r="G17" s="20"/>
      <c r="H17" s="20"/>
      <c r="I17" s="20"/>
      <c r="J17" s="20"/>
      <c r="K17" s="20"/>
      <c r="N17" s="10"/>
    </row>
    <row r="18" spans="3:14" x14ac:dyDescent="0.2">
      <c r="C18" s="20"/>
      <c r="D18" s="20"/>
      <c r="E18" s="20"/>
      <c r="F18" s="20"/>
      <c r="G18" s="20"/>
      <c r="H18" s="20"/>
      <c r="I18" s="20"/>
      <c r="J18" s="20"/>
      <c r="K18" s="20"/>
      <c r="N18" s="10"/>
    </row>
    <row r="19" spans="3:14" x14ac:dyDescent="0.2">
      <c r="C19" s="20"/>
      <c r="D19" s="20"/>
      <c r="E19" s="20"/>
      <c r="F19" s="20"/>
      <c r="G19" s="20"/>
      <c r="H19" s="20"/>
      <c r="I19" s="20"/>
      <c r="J19" s="20"/>
      <c r="K19" s="20"/>
      <c r="N19" s="10"/>
    </row>
    <row r="20" spans="3:14" x14ac:dyDescent="0.2">
      <c r="C20" s="20"/>
      <c r="D20" s="20"/>
      <c r="E20" s="20"/>
      <c r="F20" s="20"/>
      <c r="G20" s="20"/>
      <c r="H20" s="20"/>
      <c r="I20" s="20"/>
      <c r="J20" s="20"/>
      <c r="K20" s="20"/>
      <c r="N20" s="10"/>
    </row>
    <row r="21" spans="3:14" x14ac:dyDescent="0.2">
      <c r="C21" s="20"/>
      <c r="D21" s="20"/>
      <c r="E21" s="20"/>
      <c r="F21" s="20"/>
      <c r="G21" s="20"/>
      <c r="H21" s="20"/>
      <c r="I21" s="20"/>
      <c r="J21" s="20"/>
      <c r="K21" s="20"/>
      <c r="N21" s="10"/>
    </row>
    <row r="22" spans="3:14" x14ac:dyDescent="0.2">
      <c r="C22" s="20"/>
      <c r="D22" s="20"/>
      <c r="E22" s="20"/>
      <c r="F22" s="20"/>
      <c r="G22" s="20"/>
      <c r="H22" s="20"/>
      <c r="I22" s="20"/>
      <c r="J22" s="20"/>
      <c r="K22" s="20"/>
      <c r="N22" s="10"/>
    </row>
    <row r="23" spans="3:14" x14ac:dyDescent="0.2">
      <c r="C23" s="20"/>
      <c r="D23" s="20"/>
      <c r="E23" s="20"/>
      <c r="F23" s="20"/>
      <c r="G23" s="20"/>
      <c r="H23" s="20"/>
      <c r="I23" s="20"/>
      <c r="J23" s="20"/>
      <c r="K23" s="20"/>
      <c r="N23" s="10"/>
    </row>
    <row r="24" spans="3:14" x14ac:dyDescent="0.2">
      <c r="C24" s="20"/>
      <c r="D24" s="20"/>
      <c r="E24" s="20"/>
      <c r="F24" s="20"/>
      <c r="G24" s="20"/>
      <c r="H24" s="20"/>
      <c r="I24" s="20"/>
      <c r="J24" s="20"/>
      <c r="K24" s="20"/>
      <c r="N24" s="10"/>
    </row>
    <row r="25" spans="3:14" x14ac:dyDescent="0.2">
      <c r="C25" s="20"/>
      <c r="D25" s="20"/>
      <c r="E25" s="20"/>
      <c r="F25" s="20"/>
      <c r="G25" s="20"/>
      <c r="H25" s="20"/>
      <c r="I25" s="20"/>
      <c r="J25" s="20"/>
      <c r="K25" s="20"/>
      <c r="N25" s="10"/>
    </row>
    <row r="26" spans="3:14" x14ac:dyDescent="0.2">
      <c r="C26" s="20"/>
      <c r="D26" s="20"/>
      <c r="E26" s="20"/>
      <c r="F26" s="20"/>
      <c r="G26" s="20"/>
      <c r="H26" s="20"/>
      <c r="I26" s="20"/>
      <c r="J26" s="20"/>
      <c r="K26" s="20"/>
      <c r="N26" s="10"/>
    </row>
    <row r="27" spans="3:14" x14ac:dyDescent="0.2">
      <c r="C27" s="20"/>
      <c r="D27" s="20"/>
      <c r="E27" s="20"/>
      <c r="F27" s="20"/>
      <c r="G27" s="20"/>
      <c r="H27" s="20"/>
      <c r="I27" s="20"/>
      <c r="J27" s="20"/>
      <c r="K27" s="20"/>
      <c r="N27" s="10"/>
    </row>
    <row r="28" spans="3:14" x14ac:dyDescent="0.2">
      <c r="C28" s="20"/>
      <c r="D28" s="20"/>
      <c r="E28" s="20"/>
      <c r="F28" s="20"/>
      <c r="G28" s="20"/>
      <c r="H28" s="20"/>
      <c r="I28" s="20"/>
      <c r="J28" s="20"/>
      <c r="K28" s="20"/>
      <c r="N28" s="10"/>
    </row>
    <row r="29" spans="3:14" x14ac:dyDescent="0.2">
      <c r="C29" s="20"/>
      <c r="D29" s="20"/>
      <c r="E29" s="20"/>
      <c r="F29" s="20"/>
      <c r="G29" s="20"/>
      <c r="H29" s="20"/>
      <c r="I29" s="20"/>
      <c r="J29" s="20"/>
      <c r="K29" s="20"/>
      <c r="N29" s="10"/>
    </row>
    <row r="30" spans="3:14" x14ac:dyDescent="0.2">
      <c r="C30" s="20"/>
      <c r="D30" s="20"/>
      <c r="E30" s="20"/>
      <c r="F30" s="20"/>
      <c r="G30" s="20"/>
      <c r="H30" s="20"/>
      <c r="I30" s="20"/>
      <c r="J30" s="20"/>
      <c r="K30" s="20"/>
      <c r="N30" s="10"/>
    </row>
    <row r="31" spans="3:14" x14ac:dyDescent="0.2">
      <c r="C31" s="20"/>
      <c r="D31" s="20"/>
      <c r="E31" s="20"/>
      <c r="F31" s="20"/>
      <c r="G31" s="20"/>
      <c r="H31" s="20"/>
      <c r="I31" s="20"/>
      <c r="J31" s="20"/>
      <c r="K31" s="20"/>
      <c r="N31" s="10"/>
    </row>
    <row r="32" spans="3:14" x14ac:dyDescent="0.2">
      <c r="C32" s="20"/>
      <c r="D32" s="20"/>
      <c r="E32" s="20"/>
      <c r="F32" s="20"/>
      <c r="G32" s="20"/>
      <c r="H32" s="20"/>
      <c r="I32" s="20"/>
      <c r="J32" s="20"/>
      <c r="K32" s="20"/>
      <c r="N32" s="10"/>
    </row>
    <row r="33" spans="3:14" x14ac:dyDescent="0.2">
      <c r="C33" s="20"/>
      <c r="D33" s="20"/>
      <c r="E33" s="20"/>
      <c r="F33" s="20"/>
      <c r="G33" s="20"/>
      <c r="H33" s="20"/>
      <c r="I33" s="20"/>
      <c r="J33" s="20"/>
      <c r="K33" s="20"/>
      <c r="N33" s="10"/>
    </row>
    <row r="34" spans="3:14" x14ac:dyDescent="0.2">
      <c r="C34" s="20"/>
      <c r="D34" s="20"/>
      <c r="E34" s="20"/>
      <c r="F34" s="20"/>
      <c r="G34" s="20"/>
      <c r="H34" s="20"/>
      <c r="I34" s="20"/>
      <c r="J34" s="20"/>
      <c r="K34" s="20"/>
      <c r="N34" s="10"/>
    </row>
    <row r="35" spans="3:14" x14ac:dyDescent="0.2">
      <c r="C35" s="20"/>
      <c r="D35" s="20"/>
      <c r="E35" s="20"/>
      <c r="F35" s="20"/>
      <c r="G35" s="20"/>
      <c r="H35" s="20"/>
      <c r="I35" s="20"/>
      <c r="J35" s="20"/>
      <c r="K35" s="20"/>
      <c r="N35" s="10"/>
    </row>
    <row r="36" spans="3:14" x14ac:dyDescent="0.2">
      <c r="C36" s="20"/>
      <c r="D36" s="20"/>
      <c r="E36" s="20"/>
      <c r="F36" s="20"/>
      <c r="G36" s="20"/>
      <c r="H36" s="20"/>
      <c r="I36" s="20"/>
      <c r="J36" s="20"/>
      <c r="K36" s="20"/>
      <c r="N36" s="10"/>
    </row>
    <row r="37" spans="3:14" x14ac:dyDescent="0.2">
      <c r="C37" s="20"/>
      <c r="D37" s="20"/>
      <c r="E37" s="20"/>
      <c r="F37" s="20"/>
      <c r="G37" s="20"/>
      <c r="H37" s="20"/>
      <c r="I37" s="20"/>
      <c r="J37" s="20"/>
      <c r="K37" s="20"/>
      <c r="N37" s="10"/>
    </row>
    <row r="38" spans="3:14" x14ac:dyDescent="0.2">
      <c r="C38" s="20"/>
      <c r="D38" s="20"/>
      <c r="E38" s="20"/>
      <c r="F38" s="20"/>
      <c r="G38" s="20"/>
      <c r="H38" s="20"/>
      <c r="I38" s="20"/>
      <c r="J38" s="20"/>
      <c r="K38" s="20"/>
      <c r="N38" s="10"/>
    </row>
    <row r="39" spans="3:14" x14ac:dyDescent="0.2">
      <c r="C39" s="20"/>
      <c r="D39" s="20"/>
      <c r="E39" s="20"/>
      <c r="F39" s="20"/>
      <c r="G39" s="20"/>
      <c r="H39" s="20"/>
      <c r="I39" s="20"/>
      <c r="J39" s="20"/>
      <c r="K39" s="20"/>
      <c r="N39" s="10"/>
    </row>
    <row r="40" spans="3:14" x14ac:dyDescent="0.2">
      <c r="C40" s="20"/>
      <c r="D40" s="20"/>
      <c r="E40" s="20"/>
      <c r="F40" s="20"/>
      <c r="G40" s="20"/>
      <c r="H40" s="20"/>
      <c r="I40" s="20"/>
      <c r="J40" s="20"/>
      <c r="K40" s="20"/>
      <c r="N40" s="10"/>
    </row>
    <row r="41" spans="3:14" x14ac:dyDescent="0.2">
      <c r="C41" s="20"/>
      <c r="D41" s="20"/>
      <c r="E41" s="20"/>
      <c r="F41" s="20"/>
      <c r="G41" s="20"/>
      <c r="H41" s="20"/>
      <c r="I41" s="20"/>
      <c r="J41" s="20"/>
      <c r="K41" s="20"/>
      <c r="N41" s="10"/>
    </row>
    <row r="42" spans="3:14" x14ac:dyDescent="0.2">
      <c r="C42" s="20"/>
      <c r="D42" s="20"/>
      <c r="E42" s="20"/>
      <c r="F42" s="20"/>
      <c r="G42" s="20"/>
      <c r="H42" s="20"/>
      <c r="I42" s="20"/>
      <c r="J42" s="20"/>
      <c r="K42" s="20"/>
      <c r="N42" s="10"/>
    </row>
    <row r="43" spans="3:14" x14ac:dyDescent="0.2">
      <c r="C43" s="20"/>
      <c r="D43" s="20"/>
      <c r="E43" s="20"/>
      <c r="F43" s="20"/>
      <c r="G43" s="20"/>
      <c r="H43" s="20"/>
      <c r="I43" s="20"/>
      <c r="J43" s="20"/>
      <c r="K43" s="20"/>
      <c r="N43" s="10"/>
    </row>
    <row r="44" spans="3:14" x14ac:dyDescent="0.2">
      <c r="C44" s="20"/>
      <c r="D44" s="20"/>
      <c r="E44" s="20"/>
      <c r="F44" s="20"/>
      <c r="G44" s="20"/>
      <c r="H44" s="20"/>
      <c r="I44" s="20"/>
      <c r="J44" s="20"/>
      <c r="K44" s="20"/>
      <c r="N44" s="10"/>
    </row>
    <row r="45" spans="3:14" x14ac:dyDescent="0.2">
      <c r="C45" s="20"/>
      <c r="D45" s="20"/>
      <c r="E45" s="20"/>
      <c r="F45" s="20"/>
      <c r="G45" s="20"/>
      <c r="H45" s="20"/>
      <c r="I45" s="20"/>
      <c r="J45" s="20"/>
      <c r="K45" s="20"/>
      <c r="N45" s="10"/>
    </row>
    <row r="46" spans="3:14" x14ac:dyDescent="0.2">
      <c r="C46" s="20"/>
      <c r="D46" s="20"/>
      <c r="E46" s="20"/>
      <c r="F46" s="20"/>
      <c r="G46" s="20"/>
      <c r="H46" s="20"/>
      <c r="I46" s="20"/>
      <c r="J46" s="20"/>
      <c r="K46" s="20"/>
      <c r="N46" s="10"/>
    </row>
    <row r="47" spans="3:14" x14ac:dyDescent="0.2">
      <c r="C47" s="20"/>
      <c r="D47" s="20"/>
      <c r="E47" s="20"/>
      <c r="F47" s="20"/>
      <c r="G47" s="20"/>
      <c r="H47" s="20"/>
      <c r="I47" s="20"/>
      <c r="J47" s="20"/>
      <c r="K47" s="20"/>
      <c r="N47" s="10"/>
    </row>
    <row r="48" spans="3:14" x14ac:dyDescent="0.2">
      <c r="C48" s="20"/>
      <c r="D48" s="20"/>
      <c r="E48" s="20"/>
      <c r="F48" s="20"/>
      <c r="G48" s="20"/>
      <c r="H48" s="20"/>
      <c r="I48" s="20"/>
      <c r="J48" s="20"/>
      <c r="K48" s="20"/>
      <c r="N48" s="10"/>
    </row>
    <row r="49" spans="3:14" x14ac:dyDescent="0.2">
      <c r="C49" s="20"/>
      <c r="D49" s="20"/>
      <c r="E49" s="20"/>
      <c r="F49" s="20"/>
      <c r="G49" s="20"/>
      <c r="H49" s="20"/>
      <c r="I49" s="20"/>
      <c r="J49" s="20"/>
      <c r="K49" s="20"/>
      <c r="N49" s="10"/>
    </row>
    <row r="50" spans="3:14" x14ac:dyDescent="0.2">
      <c r="C50" s="20"/>
      <c r="D50" s="20"/>
      <c r="E50" s="20"/>
      <c r="F50" s="20"/>
      <c r="G50" s="20"/>
      <c r="H50" s="20"/>
      <c r="I50" s="20"/>
      <c r="J50" s="20"/>
      <c r="K50" s="20"/>
      <c r="N50" s="10"/>
    </row>
    <row r="51" spans="3:14" x14ac:dyDescent="0.2">
      <c r="C51" s="20"/>
      <c r="D51" s="20"/>
      <c r="E51" s="20"/>
      <c r="F51" s="20"/>
      <c r="G51" s="20"/>
      <c r="H51" s="20"/>
      <c r="I51" s="20"/>
      <c r="J51" s="20"/>
      <c r="K51" s="20"/>
      <c r="N51" s="10"/>
    </row>
    <row r="52" spans="3:14" x14ac:dyDescent="0.2">
      <c r="C52" s="20"/>
      <c r="D52" s="20"/>
      <c r="E52" s="20"/>
      <c r="F52" s="20"/>
      <c r="G52" s="20"/>
      <c r="H52" s="20"/>
      <c r="I52" s="20"/>
      <c r="J52" s="20"/>
      <c r="K52" s="20"/>
      <c r="N52" s="10"/>
    </row>
    <row r="53" spans="3:14" x14ac:dyDescent="0.2">
      <c r="C53" s="20"/>
      <c r="D53" s="20"/>
      <c r="E53" s="20"/>
      <c r="F53" s="20"/>
      <c r="G53" s="20"/>
      <c r="H53" s="20"/>
      <c r="I53" s="20"/>
      <c r="J53" s="20"/>
      <c r="K53" s="20"/>
      <c r="N53" s="10"/>
    </row>
    <row r="54" spans="3:14" x14ac:dyDescent="0.2">
      <c r="C54" s="20"/>
      <c r="D54" s="20"/>
      <c r="E54" s="20"/>
      <c r="F54" s="20"/>
      <c r="G54" s="20"/>
      <c r="H54" s="20"/>
      <c r="I54" s="20"/>
      <c r="J54" s="20"/>
      <c r="K54" s="20"/>
      <c r="N54" s="10"/>
    </row>
    <row r="55" spans="3:14" x14ac:dyDescent="0.2">
      <c r="C55" s="20"/>
      <c r="D55" s="20"/>
      <c r="E55" s="20"/>
      <c r="F55" s="20"/>
      <c r="G55" s="20"/>
      <c r="H55" s="20"/>
      <c r="I55" s="20"/>
      <c r="J55" s="20"/>
      <c r="K55" s="20"/>
      <c r="N55" s="10"/>
    </row>
    <row r="56" spans="3:14" x14ac:dyDescent="0.2">
      <c r="C56" s="20"/>
      <c r="D56" s="20"/>
      <c r="E56" s="20"/>
      <c r="F56" s="20"/>
      <c r="G56" s="20"/>
      <c r="H56" s="20"/>
      <c r="I56" s="20"/>
      <c r="J56" s="20"/>
      <c r="K56" s="20"/>
      <c r="N56" s="10"/>
    </row>
    <row r="57" spans="3:14" x14ac:dyDescent="0.2">
      <c r="C57" s="20"/>
      <c r="D57" s="20"/>
      <c r="E57" s="20"/>
      <c r="F57" s="20"/>
      <c r="G57" s="20"/>
      <c r="H57" s="20"/>
      <c r="I57" s="20"/>
      <c r="J57" s="20"/>
      <c r="K57" s="20"/>
      <c r="N57" s="10"/>
    </row>
    <row r="58" spans="3:14" x14ac:dyDescent="0.2">
      <c r="C58" s="20"/>
      <c r="D58" s="20"/>
      <c r="E58" s="20"/>
      <c r="F58" s="20"/>
      <c r="G58" s="20"/>
      <c r="H58" s="20"/>
      <c r="I58" s="20"/>
      <c r="J58" s="20"/>
      <c r="K58" s="20"/>
      <c r="N58" s="10"/>
    </row>
    <row r="59" spans="3:14" x14ac:dyDescent="0.2">
      <c r="C59" s="20"/>
      <c r="D59" s="20"/>
      <c r="E59" s="20"/>
      <c r="F59" s="20"/>
      <c r="G59" s="20"/>
      <c r="H59" s="20"/>
      <c r="I59" s="20"/>
      <c r="J59" s="20"/>
      <c r="K59" s="20"/>
      <c r="N59" s="10"/>
    </row>
    <row r="60" spans="3:14" x14ac:dyDescent="0.2">
      <c r="C60" s="20"/>
      <c r="D60" s="20"/>
      <c r="E60" s="20"/>
      <c r="F60" s="20"/>
      <c r="G60" s="20"/>
      <c r="H60" s="20"/>
      <c r="I60" s="20"/>
      <c r="J60" s="20"/>
      <c r="K60" s="20"/>
      <c r="N60" s="10"/>
    </row>
    <row r="61" spans="3:14" x14ac:dyDescent="0.2">
      <c r="C61" s="20"/>
      <c r="D61" s="20"/>
      <c r="E61" s="20"/>
      <c r="F61" s="20"/>
      <c r="G61" s="20"/>
      <c r="H61" s="20"/>
      <c r="I61" s="20"/>
      <c r="J61" s="20"/>
      <c r="K61" s="20"/>
      <c r="N61" s="10"/>
    </row>
    <row r="62" spans="3:14" x14ac:dyDescent="0.2">
      <c r="C62" s="20"/>
      <c r="D62" s="20"/>
      <c r="E62" s="20"/>
      <c r="F62" s="20"/>
      <c r="G62" s="20"/>
      <c r="H62" s="20"/>
      <c r="I62" s="20"/>
      <c r="J62" s="20"/>
      <c r="K62" s="20"/>
      <c r="N62" s="10"/>
    </row>
    <row r="63" spans="3:14" x14ac:dyDescent="0.2">
      <c r="C63" s="20"/>
      <c r="D63" s="20"/>
      <c r="E63" s="20"/>
      <c r="F63" s="20"/>
      <c r="G63" s="20"/>
      <c r="H63" s="20"/>
      <c r="I63" s="20"/>
      <c r="J63" s="20"/>
      <c r="K63" s="20"/>
      <c r="N63" s="10"/>
    </row>
    <row r="64" spans="3:14" x14ac:dyDescent="0.2">
      <c r="C64" s="20"/>
      <c r="D64" s="20"/>
      <c r="E64" s="20"/>
      <c r="F64" s="20"/>
      <c r="G64" s="20"/>
      <c r="H64" s="20"/>
      <c r="I64" s="20"/>
      <c r="J64" s="20"/>
      <c r="K64" s="20"/>
      <c r="N64" s="10"/>
    </row>
    <row r="65" spans="3:14" x14ac:dyDescent="0.2">
      <c r="C65" s="20"/>
      <c r="D65" s="20"/>
      <c r="E65" s="20"/>
      <c r="F65" s="20"/>
      <c r="G65" s="20"/>
      <c r="H65" s="20"/>
      <c r="I65" s="20"/>
      <c r="J65" s="20"/>
      <c r="K65" s="20"/>
      <c r="N65" s="10"/>
    </row>
    <row r="66" spans="3:14" x14ac:dyDescent="0.2">
      <c r="C66" s="20"/>
      <c r="D66" s="20"/>
      <c r="E66" s="20"/>
      <c r="F66" s="20"/>
      <c r="G66" s="20"/>
      <c r="H66" s="20"/>
      <c r="I66" s="20"/>
      <c r="J66" s="20"/>
      <c r="K66" s="20"/>
      <c r="N66" s="10"/>
    </row>
    <row r="67" spans="3:14" x14ac:dyDescent="0.2">
      <c r="C67" s="20"/>
      <c r="D67" s="20"/>
      <c r="E67" s="20"/>
      <c r="F67" s="20"/>
      <c r="G67" s="20"/>
      <c r="H67" s="20"/>
      <c r="I67" s="20"/>
      <c r="J67" s="20"/>
      <c r="K67" s="20"/>
      <c r="N67" s="10"/>
    </row>
    <row r="68" spans="3:14" x14ac:dyDescent="0.2">
      <c r="C68" s="20"/>
      <c r="D68" s="20"/>
      <c r="E68" s="20"/>
      <c r="F68" s="20"/>
      <c r="G68" s="20"/>
      <c r="H68" s="20"/>
      <c r="I68" s="20"/>
      <c r="J68" s="20"/>
      <c r="K68" s="20"/>
      <c r="N68" s="10"/>
    </row>
    <row r="69" spans="3:14" x14ac:dyDescent="0.2">
      <c r="C69" s="20"/>
      <c r="D69" s="20"/>
      <c r="E69" s="20"/>
      <c r="F69" s="20"/>
      <c r="G69" s="20"/>
      <c r="H69" s="20"/>
      <c r="I69" s="20"/>
      <c r="J69" s="20"/>
      <c r="K69" s="20"/>
      <c r="N69" s="10"/>
    </row>
    <row r="70" spans="3:14" x14ac:dyDescent="0.2">
      <c r="C70" s="20"/>
      <c r="D70" s="20"/>
      <c r="E70" s="20"/>
      <c r="F70" s="20"/>
      <c r="G70" s="20"/>
      <c r="H70" s="20"/>
      <c r="I70" s="20"/>
      <c r="J70" s="20"/>
      <c r="K70" s="20"/>
      <c r="N70" s="10"/>
    </row>
    <row r="71" spans="3:14" x14ac:dyDescent="0.2">
      <c r="C71" s="20"/>
      <c r="D71" s="20"/>
      <c r="E71" s="20"/>
      <c r="F71" s="20"/>
      <c r="G71" s="20"/>
      <c r="H71" s="20"/>
      <c r="I71" s="20"/>
      <c r="J71" s="20"/>
      <c r="K71" s="20"/>
      <c r="N71" s="10"/>
    </row>
    <row r="72" spans="3:14" x14ac:dyDescent="0.2">
      <c r="C72" s="20"/>
      <c r="D72" s="20"/>
      <c r="E72" s="20"/>
      <c r="F72" s="20"/>
      <c r="G72" s="20"/>
      <c r="H72" s="20"/>
      <c r="I72" s="20"/>
      <c r="J72" s="20"/>
      <c r="K72" s="20"/>
      <c r="N72" s="10"/>
    </row>
    <row r="73" spans="3:14" x14ac:dyDescent="0.2">
      <c r="C73" s="20"/>
      <c r="D73" s="20"/>
      <c r="E73" s="20"/>
      <c r="F73" s="20"/>
      <c r="G73" s="20"/>
      <c r="H73" s="20"/>
      <c r="I73" s="20"/>
      <c r="J73" s="20"/>
      <c r="K73" s="20"/>
      <c r="N73" s="10"/>
    </row>
    <row r="74" spans="3:14" x14ac:dyDescent="0.2">
      <c r="C74" s="20"/>
      <c r="D74" s="20"/>
      <c r="E74" s="20"/>
      <c r="F74" s="20"/>
      <c r="G74" s="20"/>
      <c r="H74" s="20"/>
      <c r="I74" s="20"/>
      <c r="J74" s="20"/>
      <c r="K74" s="20"/>
      <c r="N74" s="10"/>
    </row>
    <row r="75" spans="3:14" x14ac:dyDescent="0.2">
      <c r="C75" s="20"/>
      <c r="D75" s="20"/>
      <c r="E75" s="20"/>
      <c r="F75" s="20"/>
      <c r="G75" s="20"/>
      <c r="H75" s="20"/>
      <c r="I75" s="20"/>
      <c r="J75" s="20"/>
      <c r="K75" s="20"/>
      <c r="N75" s="10"/>
    </row>
    <row r="76" spans="3:14" x14ac:dyDescent="0.2">
      <c r="C76" s="20"/>
      <c r="D76" s="20"/>
      <c r="E76" s="20"/>
      <c r="F76" s="20"/>
      <c r="G76" s="20"/>
      <c r="H76" s="20"/>
      <c r="I76" s="20"/>
      <c r="J76" s="20"/>
      <c r="K76" s="20"/>
      <c r="N76" s="10"/>
    </row>
    <row r="77" spans="3:14" x14ac:dyDescent="0.2">
      <c r="C77" s="20"/>
      <c r="D77" s="20"/>
      <c r="E77" s="20"/>
      <c r="F77" s="20"/>
      <c r="G77" s="20"/>
      <c r="H77" s="20"/>
      <c r="I77" s="20"/>
      <c r="J77" s="20"/>
      <c r="K77" s="20"/>
      <c r="N77" s="10"/>
    </row>
    <row r="78" spans="3:14" x14ac:dyDescent="0.2">
      <c r="C78" s="20"/>
      <c r="D78" s="20"/>
      <c r="E78" s="20"/>
      <c r="F78" s="20"/>
      <c r="G78" s="20"/>
      <c r="H78" s="20"/>
      <c r="I78" s="20"/>
      <c r="J78" s="20"/>
      <c r="K78" s="20"/>
      <c r="N78" s="10"/>
    </row>
    <row r="79" spans="3:14" x14ac:dyDescent="0.2">
      <c r="C79" s="20"/>
      <c r="D79" s="20"/>
      <c r="E79" s="20"/>
      <c r="F79" s="20"/>
      <c r="G79" s="20"/>
      <c r="H79" s="20"/>
      <c r="I79" s="20"/>
      <c r="J79" s="20"/>
      <c r="K79" s="20"/>
      <c r="N79" s="10"/>
    </row>
    <row r="80" spans="3:14" x14ac:dyDescent="0.2">
      <c r="C80" s="20"/>
      <c r="D80" s="20"/>
      <c r="E80" s="20"/>
      <c r="F80" s="20"/>
      <c r="G80" s="20"/>
      <c r="H80" s="20"/>
      <c r="I80" s="20"/>
      <c r="J80" s="20"/>
      <c r="K80" s="20"/>
      <c r="N80" s="10"/>
    </row>
    <row r="81" spans="3:14" x14ac:dyDescent="0.2">
      <c r="C81" s="20"/>
      <c r="D81" s="20"/>
      <c r="E81" s="20"/>
      <c r="F81" s="20"/>
      <c r="G81" s="20"/>
      <c r="H81" s="20"/>
      <c r="I81" s="20"/>
      <c r="J81" s="20"/>
      <c r="K81" s="20"/>
      <c r="N81" s="10"/>
    </row>
    <row r="82" spans="3:14" x14ac:dyDescent="0.2">
      <c r="C82" s="20"/>
      <c r="D82" s="20"/>
      <c r="E82" s="20"/>
      <c r="F82" s="20"/>
      <c r="G82" s="20"/>
      <c r="H82" s="20"/>
      <c r="I82" s="20"/>
      <c r="J82" s="20"/>
      <c r="K82" s="20"/>
      <c r="N82" s="10"/>
    </row>
    <row r="83" spans="3:14" x14ac:dyDescent="0.2">
      <c r="C83" s="20"/>
      <c r="D83" s="20"/>
      <c r="E83" s="20"/>
      <c r="F83" s="20"/>
      <c r="G83" s="20"/>
      <c r="H83" s="20"/>
      <c r="I83" s="20"/>
      <c r="J83" s="20"/>
      <c r="K83" s="20"/>
      <c r="N83" s="10"/>
    </row>
    <row r="84" spans="3:14" x14ac:dyDescent="0.2">
      <c r="C84" s="20"/>
      <c r="D84" s="20"/>
      <c r="E84" s="20"/>
      <c r="F84" s="20"/>
      <c r="G84" s="20"/>
      <c r="H84" s="20"/>
      <c r="I84" s="20"/>
      <c r="J84" s="20"/>
      <c r="K84" s="20"/>
      <c r="N84" s="10"/>
    </row>
    <row r="85" spans="3:14" x14ac:dyDescent="0.2">
      <c r="C85" s="20"/>
      <c r="D85" s="20"/>
      <c r="E85" s="20"/>
      <c r="F85" s="20"/>
      <c r="G85" s="20"/>
      <c r="H85" s="20"/>
      <c r="I85" s="20"/>
      <c r="J85" s="20"/>
      <c r="K85" s="20"/>
      <c r="N85" s="10"/>
    </row>
    <row r="86" spans="3:14" x14ac:dyDescent="0.2">
      <c r="C86" s="20"/>
      <c r="D86" s="20"/>
      <c r="E86" s="20"/>
      <c r="F86" s="20"/>
      <c r="G86" s="20"/>
      <c r="H86" s="20"/>
      <c r="I86" s="20"/>
      <c r="J86" s="20"/>
      <c r="K86" s="20"/>
      <c r="N86" s="10"/>
    </row>
    <row r="87" spans="3:14" x14ac:dyDescent="0.2">
      <c r="C87" s="20"/>
      <c r="D87" s="20"/>
      <c r="E87" s="20"/>
      <c r="F87" s="20"/>
      <c r="G87" s="20"/>
      <c r="H87" s="20"/>
      <c r="I87" s="20"/>
      <c r="J87" s="20"/>
      <c r="K87" s="20"/>
      <c r="N87" s="10"/>
    </row>
    <row r="88" spans="3:14" x14ac:dyDescent="0.2">
      <c r="C88" s="20"/>
      <c r="D88" s="20"/>
      <c r="E88" s="20"/>
      <c r="F88" s="20"/>
      <c r="G88" s="20"/>
      <c r="H88" s="20"/>
      <c r="I88" s="20"/>
      <c r="J88" s="20"/>
      <c r="K88" s="20"/>
      <c r="N88" s="10"/>
    </row>
    <row r="89" spans="3:14" x14ac:dyDescent="0.2">
      <c r="C89" s="20"/>
      <c r="D89" s="20"/>
      <c r="E89" s="20"/>
      <c r="F89" s="20"/>
      <c r="G89" s="20"/>
      <c r="H89" s="20"/>
      <c r="I89" s="20"/>
      <c r="J89" s="20"/>
      <c r="K89" s="20"/>
      <c r="N89" s="10"/>
    </row>
    <row r="90" spans="3:14" x14ac:dyDescent="0.2">
      <c r="C90" s="20"/>
      <c r="D90" s="20"/>
      <c r="E90" s="20"/>
      <c r="F90" s="20"/>
      <c r="G90" s="20"/>
      <c r="H90" s="20"/>
      <c r="I90" s="20"/>
      <c r="J90" s="20"/>
      <c r="K90" s="20"/>
      <c r="N90" s="10"/>
    </row>
    <row r="91" spans="3:14" x14ac:dyDescent="0.2">
      <c r="C91" s="20"/>
      <c r="D91" s="20"/>
      <c r="E91" s="20"/>
      <c r="F91" s="20"/>
      <c r="G91" s="20"/>
      <c r="H91" s="20"/>
      <c r="I91" s="20"/>
      <c r="J91" s="20"/>
      <c r="K91" s="20"/>
      <c r="N91" s="10"/>
    </row>
    <row r="92" spans="3:14" x14ac:dyDescent="0.2">
      <c r="C92" s="20"/>
      <c r="D92" s="20"/>
      <c r="E92" s="20"/>
      <c r="F92" s="20"/>
      <c r="G92" s="20"/>
      <c r="H92" s="20"/>
      <c r="I92" s="20"/>
      <c r="J92" s="20"/>
      <c r="K92" s="20"/>
      <c r="N92" s="10"/>
    </row>
    <row r="93" spans="3:14" x14ac:dyDescent="0.2">
      <c r="C93" s="20"/>
      <c r="D93" s="20"/>
      <c r="E93" s="20"/>
      <c r="F93" s="20"/>
      <c r="G93" s="20"/>
      <c r="H93" s="20"/>
      <c r="I93" s="20"/>
      <c r="J93" s="20"/>
      <c r="K93" s="20"/>
      <c r="N93" s="10"/>
    </row>
    <row r="94" spans="3:14" x14ac:dyDescent="0.2">
      <c r="C94" s="20"/>
      <c r="D94" s="20"/>
      <c r="E94" s="20"/>
      <c r="F94" s="20"/>
      <c r="G94" s="20"/>
      <c r="H94" s="20"/>
      <c r="I94" s="20"/>
      <c r="J94" s="20"/>
      <c r="K94" s="20"/>
      <c r="N94" s="10"/>
    </row>
    <row r="95" spans="3:14" x14ac:dyDescent="0.2">
      <c r="C95" s="20"/>
      <c r="D95" s="20"/>
      <c r="E95" s="20"/>
      <c r="F95" s="20"/>
      <c r="G95" s="20"/>
      <c r="H95" s="20"/>
      <c r="I95" s="20"/>
      <c r="J95" s="20"/>
      <c r="K95" s="20"/>
      <c r="N95" s="10"/>
    </row>
    <row r="96" spans="3:14" x14ac:dyDescent="0.2">
      <c r="C96" s="20"/>
      <c r="D96" s="20"/>
      <c r="E96" s="20"/>
      <c r="F96" s="20"/>
      <c r="G96" s="20"/>
      <c r="H96" s="20"/>
      <c r="I96" s="20"/>
      <c r="J96" s="20"/>
      <c r="K96" s="20"/>
      <c r="N96" s="10"/>
    </row>
    <row r="97" spans="3:14" x14ac:dyDescent="0.2">
      <c r="C97" s="20"/>
      <c r="D97" s="20"/>
      <c r="E97" s="20"/>
      <c r="F97" s="20"/>
      <c r="G97" s="20"/>
      <c r="H97" s="20"/>
      <c r="I97" s="20"/>
      <c r="J97" s="20"/>
      <c r="K97" s="20"/>
      <c r="N97" s="10"/>
    </row>
    <row r="98" spans="3:14" x14ac:dyDescent="0.2">
      <c r="C98" s="20"/>
      <c r="D98" s="20"/>
      <c r="E98" s="20"/>
      <c r="F98" s="20"/>
      <c r="G98" s="20"/>
      <c r="H98" s="20"/>
      <c r="I98" s="20"/>
      <c r="J98" s="20"/>
      <c r="K98" s="20"/>
      <c r="N98" s="10"/>
    </row>
    <row r="99" spans="3:14" x14ac:dyDescent="0.2">
      <c r="C99" s="20"/>
      <c r="D99" s="20"/>
      <c r="E99" s="20"/>
      <c r="F99" s="20"/>
      <c r="G99" s="20"/>
      <c r="H99" s="20"/>
      <c r="I99" s="20"/>
      <c r="J99" s="20"/>
      <c r="K99" s="20"/>
      <c r="N99" s="10"/>
    </row>
    <row r="100" spans="3:14" x14ac:dyDescent="0.2">
      <c r="C100" s="20"/>
      <c r="D100" s="20"/>
      <c r="E100" s="20"/>
      <c r="F100" s="20"/>
      <c r="G100" s="20"/>
      <c r="H100" s="20"/>
      <c r="I100" s="20"/>
      <c r="J100" s="20"/>
      <c r="K100" s="20"/>
      <c r="N100" s="10"/>
    </row>
    <row r="101" spans="3:14" x14ac:dyDescent="0.2">
      <c r="C101" s="20"/>
      <c r="D101" s="20"/>
      <c r="E101" s="20"/>
      <c r="F101" s="20"/>
      <c r="G101" s="20"/>
      <c r="H101" s="20"/>
      <c r="I101" s="20"/>
      <c r="J101" s="20"/>
      <c r="K101" s="20"/>
      <c r="N101" s="10"/>
    </row>
    <row r="102" spans="3:14" x14ac:dyDescent="0.2">
      <c r="C102" s="20"/>
      <c r="D102" s="20"/>
      <c r="E102" s="20"/>
      <c r="F102" s="20"/>
      <c r="G102" s="20"/>
      <c r="H102" s="20"/>
      <c r="I102" s="20"/>
      <c r="J102" s="20"/>
      <c r="K102" s="20"/>
      <c r="N102" s="10"/>
    </row>
    <row r="103" spans="3:14" x14ac:dyDescent="0.2">
      <c r="C103" s="20"/>
      <c r="D103" s="20"/>
      <c r="E103" s="20"/>
      <c r="F103" s="20"/>
      <c r="G103" s="20"/>
      <c r="H103" s="20"/>
      <c r="I103" s="20"/>
      <c r="J103" s="20"/>
      <c r="K103" s="20"/>
      <c r="N103" s="10"/>
    </row>
    <row r="104" spans="3:14" x14ac:dyDescent="0.2">
      <c r="C104" s="20"/>
      <c r="D104" s="20"/>
      <c r="E104" s="20"/>
      <c r="F104" s="20"/>
      <c r="G104" s="20"/>
      <c r="H104" s="20"/>
      <c r="I104" s="20"/>
      <c r="J104" s="20"/>
      <c r="K104" s="20"/>
      <c r="N104" s="10"/>
    </row>
    <row r="105" spans="3:14" x14ac:dyDescent="0.2">
      <c r="C105" s="20"/>
      <c r="D105" s="20"/>
      <c r="E105" s="20"/>
      <c r="F105" s="20"/>
      <c r="G105" s="20"/>
      <c r="H105" s="20"/>
      <c r="I105" s="20"/>
      <c r="J105" s="20"/>
      <c r="K105" s="20"/>
      <c r="N105" s="10"/>
    </row>
    <row r="106" spans="3:14" x14ac:dyDescent="0.2">
      <c r="C106" s="20"/>
      <c r="D106" s="20"/>
      <c r="E106" s="20"/>
      <c r="F106" s="20"/>
      <c r="G106" s="20"/>
      <c r="H106" s="20"/>
      <c r="I106" s="20"/>
      <c r="J106" s="20"/>
      <c r="K106" s="20"/>
      <c r="N106" s="10"/>
    </row>
    <row r="107" spans="3:14" x14ac:dyDescent="0.2">
      <c r="C107" s="20"/>
      <c r="D107" s="20"/>
      <c r="E107" s="20"/>
      <c r="F107" s="20"/>
      <c r="G107" s="20"/>
      <c r="H107" s="20"/>
      <c r="I107" s="20"/>
      <c r="J107" s="20"/>
      <c r="K107" s="20"/>
      <c r="N107" s="10"/>
    </row>
    <row r="108" spans="3:14" x14ac:dyDescent="0.2">
      <c r="C108" s="20"/>
      <c r="D108" s="20"/>
      <c r="E108" s="20"/>
      <c r="F108" s="20"/>
      <c r="G108" s="20"/>
      <c r="H108" s="20"/>
      <c r="I108" s="20"/>
      <c r="J108" s="20"/>
      <c r="K108" s="20"/>
      <c r="N108" s="10"/>
    </row>
    <row r="109" spans="3:14" x14ac:dyDescent="0.2">
      <c r="C109" s="20"/>
      <c r="D109" s="20"/>
      <c r="E109" s="20"/>
      <c r="F109" s="20"/>
      <c r="G109" s="20"/>
      <c r="H109" s="20"/>
      <c r="I109" s="20"/>
      <c r="J109" s="20"/>
      <c r="K109" s="20"/>
      <c r="N109" s="10"/>
    </row>
    <row r="110" spans="3:14" x14ac:dyDescent="0.2">
      <c r="C110" s="20"/>
      <c r="D110" s="20"/>
      <c r="E110" s="20"/>
      <c r="F110" s="20"/>
      <c r="G110" s="20"/>
      <c r="H110" s="20"/>
      <c r="I110" s="20"/>
      <c r="J110" s="20"/>
      <c r="K110" s="20"/>
      <c r="N110" s="10"/>
    </row>
    <row r="111" spans="3:14" x14ac:dyDescent="0.2">
      <c r="C111" s="20"/>
      <c r="D111" s="20"/>
      <c r="E111" s="20"/>
      <c r="F111" s="20"/>
      <c r="G111" s="20"/>
      <c r="H111" s="20"/>
      <c r="I111" s="20"/>
      <c r="J111" s="20"/>
      <c r="K111" s="20"/>
      <c r="N111" s="10"/>
    </row>
    <row r="112" spans="3:14" x14ac:dyDescent="0.2">
      <c r="C112" s="20"/>
      <c r="D112" s="20"/>
      <c r="E112" s="20"/>
      <c r="F112" s="20"/>
      <c r="G112" s="20"/>
      <c r="H112" s="20"/>
      <c r="I112" s="20"/>
      <c r="J112" s="20"/>
      <c r="K112" s="20"/>
      <c r="N112" s="10"/>
    </row>
    <row r="113" spans="3:14" x14ac:dyDescent="0.2">
      <c r="C113" s="20"/>
      <c r="D113" s="20"/>
      <c r="E113" s="20"/>
      <c r="F113" s="20"/>
      <c r="G113" s="20"/>
      <c r="H113" s="20"/>
      <c r="I113" s="20"/>
      <c r="J113" s="20"/>
      <c r="K113" s="20"/>
      <c r="N113" s="10"/>
    </row>
    <row r="114" spans="3:14" x14ac:dyDescent="0.2">
      <c r="C114" s="20"/>
      <c r="D114" s="20"/>
      <c r="E114" s="20"/>
      <c r="F114" s="20"/>
      <c r="G114" s="20"/>
      <c r="H114" s="20"/>
      <c r="I114" s="20"/>
      <c r="J114" s="20"/>
      <c r="K114" s="20"/>
      <c r="N114" s="10"/>
    </row>
    <row r="115" spans="3:14" x14ac:dyDescent="0.2">
      <c r="C115" s="20"/>
      <c r="D115" s="20"/>
      <c r="E115" s="20"/>
      <c r="F115" s="20"/>
      <c r="G115" s="20"/>
      <c r="H115" s="20"/>
      <c r="I115" s="20"/>
      <c r="J115" s="20"/>
      <c r="K115" s="20"/>
      <c r="N115" s="10"/>
    </row>
    <row r="116" spans="3:14" x14ac:dyDescent="0.2">
      <c r="C116" s="20"/>
      <c r="D116" s="20"/>
      <c r="E116" s="20"/>
      <c r="F116" s="20"/>
      <c r="G116" s="20"/>
      <c r="H116" s="20"/>
      <c r="I116" s="20"/>
      <c r="J116" s="20"/>
      <c r="K116" s="20"/>
      <c r="N116" s="10"/>
    </row>
    <row r="117" spans="3:14" x14ac:dyDescent="0.2">
      <c r="C117" s="20"/>
      <c r="D117" s="20"/>
      <c r="E117" s="20"/>
      <c r="F117" s="20"/>
      <c r="G117" s="20"/>
      <c r="H117" s="20"/>
      <c r="I117" s="20"/>
      <c r="J117" s="20"/>
      <c r="K117" s="20"/>
      <c r="N117" s="10"/>
    </row>
    <row r="118" spans="3:14" x14ac:dyDescent="0.2">
      <c r="C118" s="20"/>
      <c r="D118" s="20"/>
      <c r="E118" s="20"/>
      <c r="F118" s="20"/>
      <c r="G118" s="20"/>
      <c r="H118" s="20"/>
      <c r="I118" s="20"/>
      <c r="J118" s="20"/>
      <c r="K118" s="20"/>
      <c r="N118" s="10"/>
    </row>
    <row r="119" spans="3:14" x14ac:dyDescent="0.2">
      <c r="C119" s="20"/>
      <c r="D119" s="20"/>
      <c r="E119" s="20"/>
      <c r="F119" s="20"/>
      <c r="G119" s="20"/>
      <c r="H119" s="20"/>
      <c r="I119" s="20"/>
      <c r="J119" s="20"/>
      <c r="K119" s="20"/>
      <c r="N119" s="10"/>
    </row>
    <row r="120" spans="3:14" x14ac:dyDescent="0.2">
      <c r="C120" s="20"/>
      <c r="D120" s="20"/>
      <c r="E120" s="20"/>
      <c r="F120" s="20"/>
      <c r="G120" s="20"/>
      <c r="H120" s="20"/>
      <c r="I120" s="20"/>
      <c r="J120" s="20"/>
      <c r="K120" s="20"/>
      <c r="N120" s="10"/>
    </row>
    <row r="121" spans="3:14" x14ac:dyDescent="0.2">
      <c r="C121" s="20"/>
      <c r="D121" s="20"/>
      <c r="E121" s="20"/>
      <c r="F121" s="20"/>
      <c r="G121" s="20"/>
      <c r="H121" s="20"/>
      <c r="I121" s="20"/>
      <c r="J121" s="20"/>
      <c r="K121" s="20"/>
      <c r="N121" s="10"/>
    </row>
    <row r="122" spans="3:14" x14ac:dyDescent="0.2">
      <c r="C122" s="20"/>
      <c r="D122" s="20"/>
      <c r="E122" s="20"/>
      <c r="F122" s="20"/>
      <c r="G122" s="20"/>
      <c r="H122" s="20"/>
      <c r="I122" s="20"/>
      <c r="J122" s="20"/>
      <c r="K122" s="20"/>
      <c r="N122" s="10"/>
    </row>
    <row r="123" spans="3:14" x14ac:dyDescent="0.2">
      <c r="C123" s="20"/>
      <c r="D123" s="20"/>
      <c r="E123" s="20"/>
      <c r="F123" s="20"/>
      <c r="G123" s="20"/>
      <c r="H123" s="20"/>
      <c r="I123" s="20"/>
      <c r="J123" s="20"/>
      <c r="K123" s="20"/>
      <c r="N123" s="10"/>
    </row>
    <row r="124" spans="3:14" x14ac:dyDescent="0.2">
      <c r="C124" s="20"/>
      <c r="D124" s="20"/>
      <c r="E124" s="20"/>
      <c r="F124" s="20"/>
      <c r="G124" s="20"/>
      <c r="H124" s="20"/>
      <c r="I124" s="20"/>
      <c r="J124" s="20"/>
      <c r="K124" s="20"/>
      <c r="N124" s="10"/>
    </row>
    <row r="125" spans="3:14" x14ac:dyDescent="0.2">
      <c r="C125" s="20"/>
      <c r="D125" s="20"/>
      <c r="E125" s="20"/>
      <c r="F125" s="20"/>
      <c r="G125" s="20"/>
      <c r="H125" s="20"/>
      <c r="I125" s="20"/>
      <c r="J125" s="20"/>
      <c r="K125" s="20"/>
      <c r="N125" s="10"/>
    </row>
    <row r="126" spans="3:14" x14ac:dyDescent="0.2">
      <c r="C126" s="20"/>
      <c r="D126" s="20"/>
      <c r="E126" s="20"/>
      <c r="F126" s="20"/>
      <c r="G126" s="20"/>
      <c r="H126" s="20"/>
      <c r="I126" s="20"/>
      <c r="J126" s="20"/>
      <c r="K126" s="20"/>
      <c r="N126" s="10"/>
    </row>
    <row r="127" spans="3:14" x14ac:dyDescent="0.2">
      <c r="C127" s="20"/>
      <c r="D127" s="20"/>
      <c r="E127" s="20"/>
      <c r="F127" s="20"/>
      <c r="G127" s="20"/>
      <c r="H127" s="20"/>
      <c r="I127" s="20"/>
      <c r="J127" s="20"/>
      <c r="K127" s="20"/>
      <c r="N127" s="10"/>
    </row>
    <row r="128" spans="3:14" x14ac:dyDescent="0.2">
      <c r="C128" s="20"/>
      <c r="D128" s="20"/>
      <c r="E128" s="20"/>
      <c r="F128" s="20"/>
      <c r="G128" s="20"/>
      <c r="H128" s="20"/>
      <c r="I128" s="20"/>
      <c r="J128" s="20"/>
      <c r="K128" s="20"/>
      <c r="N128" s="10"/>
    </row>
    <row r="129" spans="3:14" x14ac:dyDescent="0.2">
      <c r="C129" s="20"/>
      <c r="D129" s="20"/>
      <c r="E129" s="20"/>
      <c r="F129" s="20"/>
      <c r="G129" s="20"/>
      <c r="H129" s="20"/>
      <c r="I129" s="20"/>
      <c r="J129" s="20"/>
      <c r="K129" s="20"/>
      <c r="N129" s="10"/>
    </row>
    <row r="130" spans="3:14" x14ac:dyDescent="0.2">
      <c r="C130" s="20"/>
      <c r="D130" s="20"/>
      <c r="E130" s="20"/>
      <c r="F130" s="20"/>
      <c r="G130" s="20"/>
      <c r="H130" s="20"/>
      <c r="I130" s="20"/>
      <c r="J130" s="20"/>
      <c r="K130" s="20"/>
      <c r="N130" s="10"/>
    </row>
    <row r="131" spans="3:14" x14ac:dyDescent="0.2">
      <c r="C131" s="20"/>
      <c r="D131" s="20"/>
      <c r="E131" s="20"/>
      <c r="F131" s="20"/>
      <c r="G131" s="20"/>
      <c r="H131" s="20"/>
      <c r="I131" s="20"/>
      <c r="J131" s="20"/>
      <c r="K131" s="20"/>
      <c r="N131" s="10"/>
    </row>
    <row r="132" spans="3:14" x14ac:dyDescent="0.2">
      <c r="C132" s="20"/>
      <c r="D132" s="20"/>
      <c r="E132" s="20"/>
      <c r="F132" s="20"/>
      <c r="G132" s="20"/>
      <c r="H132" s="20"/>
      <c r="I132" s="20"/>
      <c r="J132" s="20"/>
      <c r="K132" s="20"/>
      <c r="N132" s="10"/>
    </row>
    <row r="133" spans="3:14" x14ac:dyDescent="0.2">
      <c r="C133" s="20"/>
      <c r="D133" s="20"/>
      <c r="E133" s="20"/>
      <c r="F133" s="20"/>
      <c r="G133" s="20"/>
      <c r="H133" s="20"/>
      <c r="I133" s="20"/>
      <c r="J133" s="20"/>
      <c r="K133" s="20"/>
      <c r="N133" s="10"/>
    </row>
    <row r="134" spans="3:14" x14ac:dyDescent="0.2">
      <c r="C134" s="20"/>
      <c r="D134" s="20"/>
      <c r="E134" s="20"/>
      <c r="F134" s="20"/>
      <c r="G134" s="20"/>
      <c r="H134" s="20"/>
      <c r="I134" s="20"/>
      <c r="J134" s="20"/>
      <c r="K134" s="20"/>
      <c r="N134" s="10"/>
    </row>
    <row r="135" spans="3:14" x14ac:dyDescent="0.2">
      <c r="C135" s="20"/>
      <c r="D135" s="20"/>
      <c r="E135" s="20"/>
      <c r="F135" s="20"/>
      <c r="G135" s="20"/>
      <c r="H135" s="20"/>
      <c r="I135" s="20"/>
      <c r="J135" s="20"/>
      <c r="K135" s="20"/>
      <c r="N135" s="10"/>
    </row>
    <row r="136" spans="3:14" x14ac:dyDescent="0.2">
      <c r="C136" s="20"/>
      <c r="D136" s="20"/>
      <c r="E136" s="20"/>
      <c r="F136" s="20"/>
      <c r="G136" s="20"/>
      <c r="H136" s="20"/>
      <c r="I136" s="20"/>
      <c r="J136" s="20"/>
      <c r="K136" s="20"/>
      <c r="N136" s="10"/>
    </row>
    <row r="137" spans="3:14" x14ac:dyDescent="0.2">
      <c r="C137" s="20"/>
      <c r="D137" s="20"/>
      <c r="E137" s="20"/>
      <c r="F137" s="20"/>
      <c r="G137" s="20"/>
      <c r="H137" s="20"/>
      <c r="I137" s="20"/>
      <c r="J137" s="20"/>
      <c r="K137" s="20"/>
      <c r="N137" s="10"/>
    </row>
    <row r="138" spans="3:14" x14ac:dyDescent="0.2">
      <c r="C138" s="20"/>
      <c r="D138" s="20"/>
      <c r="E138" s="20"/>
      <c r="F138" s="20"/>
      <c r="G138" s="20"/>
      <c r="H138" s="20"/>
      <c r="I138" s="20"/>
      <c r="J138" s="20"/>
      <c r="K138" s="20"/>
      <c r="N138" s="10"/>
    </row>
    <row r="139" spans="3:14" x14ac:dyDescent="0.2">
      <c r="C139" s="20"/>
      <c r="D139" s="20"/>
      <c r="E139" s="20"/>
      <c r="F139" s="20"/>
      <c r="G139" s="20"/>
      <c r="H139" s="20"/>
      <c r="I139" s="20"/>
      <c r="J139" s="20"/>
      <c r="K139" s="20"/>
      <c r="N139" s="10"/>
    </row>
    <row r="140" spans="3:14" x14ac:dyDescent="0.2">
      <c r="C140" s="20"/>
      <c r="D140" s="20"/>
      <c r="E140" s="20"/>
      <c r="F140" s="20"/>
      <c r="G140" s="20"/>
      <c r="H140" s="20"/>
      <c r="I140" s="20"/>
      <c r="J140" s="20"/>
      <c r="K140" s="20"/>
      <c r="N140" s="10"/>
    </row>
    <row r="141" spans="3:14" x14ac:dyDescent="0.2">
      <c r="C141" s="20"/>
      <c r="D141" s="20"/>
      <c r="E141" s="20"/>
      <c r="F141" s="20"/>
      <c r="G141" s="20"/>
      <c r="H141" s="20"/>
      <c r="I141" s="20"/>
      <c r="J141" s="20"/>
      <c r="K141" s="20"/>
      <c r="N141" s="10"/>
    </row>
    <row r="142" spans="3:14" x14ac:dyDescent="0.2">
      <c r="C142" s="20"/>
      <c r="D142" s="20"/>
      <c r="E142" s="20"/>
      <c r="F142" s="20"/>
      <c r="G142" s="20"/>
      <c r="H142" s="20"/>
      <c r="I142" s="20"/>
      <c r="J142" s="20"/>
      <c r="K142" s="20"/>
      <c r="N142" s="10"/>
    </row>
    <row r="143" spans="3:14" x14ac:dyDescent="0.2">
      <c r="C143" s="20"/>
      <c r="D143" s="20"/>
      <c r="E143" s="20"/>
      <c r="F143" s="20"/>
      <c r="G143" s="20"/>
      <c r="H143" s="20"/>
      <c r="I143" s="20"/>
      <c r="J143" s="20"/>
      <c r="K143" s="20"/>
      <c r="N143" s="10"/>
    </row>
    <row r="144" spans="3:14" x14ac:dyDescent="0.2">
      <c r="C144" s="20"/>
      <c r="D144" s="20"/>
      <c r="E144" s="20"/>
      <c r="F144" s="20"/>
      <c r="G144" s="20"/>
      <c r="H144" s="20"/>
      <c r="I144" s="20"/>
      <c r="J144" s="20"/>
      <c r="K144" s="20"/>
      <c r="N144" s="10"/>
    </row>
    <row r="145" spans="3:14" x14ac:dyDescent="0.2">
      <c r="C145" s="20"/>
      <c r="D145" s="20"/>
      <c r="E145" s="20"/>
      <c r="F145" s="20"/>
      <c r="G145" s="20"/>
      <c r="H145" s="20"/>
      <c r="I145" s="20"/>
      <c r="J145" s="20"/>
      <c r="K145" s="20"/>
      <c r="N145" s="10"/>
    </row>
    <row r="146" spans="3:14" x14ac:dyDescent="0.2">
      <c r="C146" s="20"/>
      <c r="D146" s="20"/>
      <c r="E146" s="20"/>
      <c r="F146" s="20"/>
      <c r="G146" s="20"/>
      <c r="H146" s="20"/>
      <c r="I146" s="20"/>
      <c r="J146" s="20"/>
      <c r="K146" s="20"/>
      <c r="N146" s="10"/>
    </row>
    <row r="147" spans="3:14" x14ac:dyDescent="0.2">
      <c r="C147" s="20"/>
      <c r="D147" s="20"/>
      <c r="E147" s="20"/>
      <c r="F147" s="20"/>
      <c r="G147" s="20"/>
      <c r="H147" s="20"/>
      <c r="I147" s="20"/>
      <c r="J147" s="20"/>
      <c r="K147" s="20"/>
      <c r="N147" s="10"/>
    </row>
    <row r="148" spans="3:14" x14ac:dyDescent="0.2">
      <c r="C148" s="20"/>
      <c r="D148" s="20"/>
      <c r="E148" s="20"/>
      <c r="F148" s="20"/>
      <c r="G148" s="20"/>
      <c r="H148" s="20"/>
      <c r="I148" s="20"/>
      <c r="J148" s="20"/>
      <c r="K148" s="20"/>
      <c r="N148" s="10"/>
    </row>
    <row r="149" spans="3:14" x14ac:dyDescent="0.2">
      <c r="C149" s="20"/>
      <c r="D149" s="20"/>
      <c r="E149" s="20"/>
      <c r="F149" s="20"/>
      <c r="G149" s="20"/>
      <c r="H149" s="20"/>
      <c r="I149" s="20"/>
      <c r="J149" s="20"/>
      <c r="K149" s="20"/>
      <c r="N149" s="10"/>
    </row>
    <row r="150" spans="3:14" x14ac:dyDescent="0.2">
      <c r="C150" s="20"/>
      <c r="D150" s="20"/>
      <c r="E150" s="20"/>
      <c r="F150" s="20"/>
      <c r="G150" s="20"/>
      <c r="H150" s="20"/>
      <c r="I150" s="20"/>
      <c r="J150" s="20"/>
      <c r="K150" s="20"/>
      <c r="N150" s="10"/>
    </row>
    <row r="151" spans="3:14" x14ac:dyDescent="0.2">
      <c r="C151" s="20"/>
      <c r="D151" s="20"/>
      <c r="E151" s="20"/>
      <c r="F151" s="20"/>
      <c r="G151" s="20"/>
      <c r="H151" s="20"/>
      <c r="I151" s="20"/>
      <c r="J151" s="20"/>
      <c r="K151" s="20"/>
      <c r="N151" s="10"/>
    </row>
    <row r="152" spans="3:14" x14ac:dyDescent="0.2">
      <c r="C152" s="20"/>
      <c r="D152" s="20"/>
      <c r="E152" s="20"/>
      <c r="F152" s="20"/>
      <c r="G152" s="20"/>
      <c r="H152" s="20"/>
      <c r="I152" s="20"/>
      <c r="J152" s="20"/>
      <c r="K152" s="20"/>
      <c r="N152" s="10"/>
    </row>
    <row r="153" spans="3:14" x14ac:dyDescent="0.2">
      <c r="C153" s="20"/>
      <c r="D153" s="20"/>
      <c r="E153" s="20"/>
      <c r="F153" s="20"/>
      <c r="G153" s="20"/>
      <c r="H153" s="20"/>
      <c r="I153" s="20"/>
      <c r="J153" s="20"/>
      <c r="K153" s="20"/>
      <c r="N153" s="10"/>
    </row>
    <row r="154" spans="3:14" x14ac:dyDescent="0.2">
      <c r="C154" s="20"/>
      <c r="D154" s="20"/>
      <c r="E154" s="20"/>
      <c r="F154" s="20"/>
      <c r="G154" s="20"/>
      <c r="H154" s="20"/>
      <c r="I154" s="20"/>
      <c r="J154" s="20"/>
      <c r="K154" s="20"/>
      <c r="N154" s="10"/>
    </row>
    <row r="155" spans="3:14" x14ac:dyDescent="0.2">
      <c r="C155" s="20"/>
      <c r="D155" s="20"/>
      <c r="E155" s="20"/>
      <c r="F155" s="20"/>
      <c r="G155" s="20"/>
      <c r="H155" s="20"/>
      <c r="I155" s="20"/>
      <c r="J155" s="20"/>
      <c r="K155" s="20"/>
      <c r="N155" s="10"/>
    </row>
    <row r="156" spans="3:14" x14ac:dyDescent="0.2">
      <c r="C156" s="20"/>
      <c r="D156" s="20"/>
      <c r="E156" s="20"/>
      <c r="F156" s="20"/>
      <c r="G156" s="20"/>
      <c r="H156" s="20"/>
      <c r="I156" s="20"/>
      <c r="J156" s="20"/>
      <c r="K156" s="20"/>
      <c r="N156" s="10"/>
    </row>
    <row r="157" spans="3:14" x14ac:dyDescent="0.2">
      <c r="C157" s="20"/>
      <c r="D157" s="20"/>
      <c r="E157" s="20"/>
      <c r="F157" s="20"/>
      <c r="G157" s="20"/>
      <c r="H157" s="20"/>
      <c r="I157" s="20"/>
      <c r="J157" s="20"/>
      <c r="K157" s="20"/>
      <c r="N157" s="10"/>
    </row>
    <row r="158" spans="3:14" x14ac:dyDescent="0.2">
      <c r="C158" s="20"/>
      <c r="D158" s="20"/>
      <c r="E158" s="20"/>
      <c r="F158" s="20"/>
      <c r="G158" s="20"/>
      <c r="H158" s="20"/>
      <c r="I158" s="20"/>
      <c r="J158" s="20"/>
      <c r="K158" s="20"/>
      <c r="N158" s="10"/>
    </row>
    <row r="159" spans="3:14" x14ac:dyDescent="0.2">
      <c r="C159" s="20"/>
      <c r="D159" s="20"/>
      <c r="E159" s="20"/>
      <c r="F159" s="20"/>
      <c r="G159" s="20"/>
      <c r="H159" s="20"/>
      <c r="I159" s="20"/>
      <c r="J159" s="20"/>
      <c r="K159" s="20"/>
      <c r="N159" s="10"/>
    </row>
    <row r="160" spans="3:14" x14ac:dyDescent="0.2">
      <c r="C160" s="20"/>
      <c r="D160" s="20"/>
      <c r="E160" s="20"/>
      <c r="F160" s="20"/>
      <c r="G160" s="20"/>
      <c r="H160" s="20"/>
      <c r="I160" s="20"/>
      <c r="J160" s="20"/>
      <c r="K160" s="20"/>
      <c r="N160" s="10"/>
    </row>
    <row r="161" spans="3:14" x14ac:dyDescent="0.2">
      <c r="C161" s="20"/>
      <c r="D161" s="20"/>
      <c r="E161" s="20"/>
      <c r="F161" s="20"/>
      <c r="G161" s="20"/>
      <c r="H161" s="20"/>
      <c r="I161" s="20"/>
      <c r="J161" s="20"/>
      <c r="K161" s="20"/>
      <c r="N161" s="10"/>
    </row>
    <row r="162" spans="3:14" x14ac:dyDescent="0.2">
      <c r="C162" s="20"/>
      <c r="D162" s="20"/>
      <c r="E162" s="20"/>
      <c r="F162" s="20"/>
      <c r="G162" s="20"/>
      <c r="H162" s="20"/>
      <c r="I162" s="20"/>
      <c r="J162" s="20"/>
      <c r="K162" s="20"/>
      <c r="N162" s="10"/>
    </row>
    <row r="163" spans="3:14" x14ac:dyDescent="0.2">
      <c r="C163" s="20"/>
      <c r="D163" s="20"/>
      <c r="E163" s="20"/>
      <c r="F163" s="20"/>
      <c r="G163" s="20"/>
      <c r="H163" s="20"/>
      <c r="I163" s="20"/>
      <c r="J163" s="20"/>
      <c r="K163" s="20"/>
      <c r="N163" s="10"/>
    </row>
    <row r="164" spans="3:14" x14ac:dyDescent="0.2">
      <c r="C164" s="20"/>
      <c r="D164" s="20"/>
      <c r="E164" s="20"/>
      <c r="F164" s="20"/>
      <c r="G164" s="20"/>
      <c r="H164" s="20"/>
      <c r="I164" s="20"/>
      <c r="J164" s="20"/>
      <c r="K164" s="20"/>
      <c r="N164" s="10"/>
    </row>
    <row r="165" spans="3:14" x14ac:dyDescent="0.2">
      <c r="C165" s="20"/>
      <c r="D165" s="20"/>
      <c r="E165" s="20"/>
      <c r="F165" s="20"/>
      <c r="G165" s="20"/>
      <c r="H165" s="20"/>
      <c r="I165" s="20"/>
      <c r="J165" s="20"/>
      <c r="K165" s="20"/>
      <c r="N165" s="10"/>
    </row>
    <row r="166" spans="3:14" x14ac:dyDescent="0.2">
      <c r="C166" s="20"/>
      <c r="D166" s="20"/>
      <c r="E166" s="20"/>
      <c r="F166" s="20"/>
      <c r="G166" s="20"/>
      <c r="H166" s="20"/>
      <c r="I166" s="20"/>
      <c r="J166" s="20"/>
      <c r="K166" s="20"/>
      <c r="N166" s="10"/>
    </row>
    <row r="167" spans="3:14" x14ac:dyDescent="0.2">
      <c r="C167" s="20"/>
      <c r="D167" s="20"/>
      <c r="E167" s="20"/>
      <c r="F167" s="20"/>
      <c r="G167" s="20"/>
      <c r="H167" s="20"/>
      <c r="I167" s="20"/>
      <c r="J167" s="20"/>
      <c r="K167" s="20"/>
      <c r="N167" s="10"/>
    </row>
    <row r="168" spans="3:14" x14ac:dyDescent="0.2">
      <c r="C168" s="20"/>
      <c r="D168" s="20"/>
      <c r="E168" s="20"/>
      <c r="F168" s="20"/>
      <c r="G168" s="20"/>
      <c r="H168" s="20"/>
      <c r="I168" s="20"/>
      <c r="J168" s="20"/>
      <c r="K168" s="20"/>
      <c r="N168" s="10"/>
    </row>
    <row r="169" spans="3:14" x14ac:dyDescent="0.2">
      <c r="C169" s="20"/>
      <c r="D169" s="20"/>
      <c r="E169" s="20"/>
      <c r="F169" s="20"/>
      <c r="G169" s="20"/>
      <c r="H169" s="20"/>
      <c r="I169" s="20"/>
      <c r="J169" s="20"/>
      <c r="K169" s="20"/>
      <c r="N169" s="10"/>
    </row>
    <row r="170" spans="3:14" x14ac:dyDescent="0.2">
      <c r="C170" s="20"/>
      <c r="D170" s="20"/>
      <c r="E170" s="20"/>
      <c r="F170" s="20"/>
      <c r="G170" s="20"/>
      <c r="H170" s="20"/>
      <c r="I170" s="20"/>
      <c r="J170" s="20"/>
      <c r="K170" s="20"/>
      <c r="N170" s="10"/>
    </row>
    <row r="171" spans="3:14" x14ac:dyDescent="0.2">
      <c r="C171" s="20"/>
      <c r="D171" s="20"/>
      <c r="E171" s="20"/>
      <c r="F171" s="20"/>
      <c r="G171" s="20"/>
      <c r="H171" s="20"/>
      <c r="I171" s="20"/>
      <c r="J171" s="20"/>
      <c r="K171" s="20"/>
      <c r="N171" s="10"/>
    </row>
    <row r="172" spans="3:14" x14ac:dyDescent="0.2">
      <c r="C172" s="20"/>
      <c r="D172" s="20"/>
      <c r="E172" s="20"/>
      <c r="F172" s="20"/>
      <c r="G172" s="20"/>
      <c r="H172" s="20"/>
      <c r="I172" s="20"/>
      <c r="J172" s="20"/>
      <c r="K172" s="20"/>
      <c r="N172" s="10"/>
    </row>
    <row r="173" spans="3:14" x14ac:dyDescent="0.2">
      <c r="C173" s="20"/>
      <c r="D173" s="20"/>
      <c r="E173" s="20"/>
      <c r="F173" s="20"/>
      <c r="G173" s="20"/>
      <c r="H173" s="20"/>
      <c r="I173" s="20"/>
      <c r="J173" s="20"/>
      <c r="K173" s="20"/>
      <c r="N173" s="10"/>
    </row>
    <row r="174" spans="3:14" x14ac:dyDescent="0.2">
      <c r="C174" s="20"/>
      <c r="D174" s="20"/>
      <c r="E174" s="20"/>
      <c r="F174" s="20"/>
      <c r="G174" s="20"/>
      <c r="H174" s="20"/>
      <c r="I174" s="20"/>
      <c r="J174" s="20"/>
      <c r="K174" s="20"/>
      <c r="N174" s="10"/>
    </row>
    <row r="175" spans="3:14" x14ac:dyDescent="0.2">
      <c r="C175" s="20"/>
      <c r="D175" s="20"/>
      <c r="E175" s="20"/>
      <c r="F175" s="20"/>
      <c r="G175" s="20"/>
      <c r="H175" s="20"/>
      <c r="I175" s="20"/>
      <c r="J175" s="20"/>
      <c r="K175" s="20"/>
      <c r="N175" s="10"/>
    </row>
    <row r="176" spans="3:14" x14ac:dyDescent="0.2">
      <c r="C176" s="20"/>
      <c r="D176" s="20"/>
      <c r="E176" s="20"/>
      <c r="F176" s="20"/>
      <c r="G176" s="20"/>
      <c r="H176" s="20"/>
      <c r="I176" s="20"/>
      <c r="J176" s="20"/>
      <c r="K176" s="20"/>
      <c r="N176" s="10"/>
    </row>
    <row r="177" spans="3:14" x14ac:dyDescent="0.2">
      <c r="C177" s="20"/>
      <c r="D177" s="20"/>
      <c r="E177" s="20"/>
      <c r="F177" s="20"/>
      <c r="G177" s="20"/>
      <c r="H177" s="20"/>
      <c r="I177" s="20"/>
      <c r="J177" s="20"/>
      <c r="K177" s="20"/>
      <c r="N177" s="10"/>
    </row>
    <row r="178" spans="3:14" x14ac:dyDescent="0.2">
      <c r="C178" s="20"/>
      <c r="D178" s="20"/>
      <c r="E178" s="20"/>
      <c r="F178" s="20"/>
      <c r="G178" s="20"/>
      <c r="H178" s="20"/>
      <c r="I178" s="20"/>
      <c r="J178" s="20"/>
      <c r="K178" s="20"/>
      <c r="N178" s="10"/>
    </row>
    <row r="179" spans="3:14" x14ac:dyDescent="0.2">
      <c r="C179" s="20"/>
      <c r="D179" s="20"/>
      <c r="E179" s="20"/>
      <c r="F179" s="20"/>
      <c r="G179" s="20"/>
      <c r="H179" s="20"/>
      <c r="I179" s="20"/>
      <c r="J179" s="20"/>
      <c r="K179" s="20"/>
      <c r="N179" s="10"/>
    </row>
    <row r="180" spans="3:14" x14ac:dyDescent="0.2">
      <c r="C180" s="20"/>
      <c r="D180" s="20"/>
      <c r="E180" s="20"/>
      <c r="F180" s="20"/>
      <c r="G180" s="20"/>
      <c r="H180" s="20"/>
      <c r="I180" s="20"/>
      <c r="J180" s="20"/>
      <c r="K180" s="20"/>
      <c r="N180" s="10"/>
    </row>
    <row r="181" spans="3:14" x14ac:dyDescent="0.2">
      <c r="C181" s="20"/>
      <c r="D181" s="20"/>
      <c r="E181" s="20"/>
      <c r="F181" s="20"/>
      <c r="G181" s="20"/>
      <c r="H181" s="20"/>
      <c r="I181" s="20"/>
      <c r="J181" s="20"/>
      <c r="K181" s="20"/>
      <c r="N181" s="10"/>
    </row>
    <row r="182" spans="3:14" x14ac:dyDescent="0.2">
      <c r="C182" s="20"/>
      <c r="D182" s="20"/>
      <c r="E182" s="20"/>
      <c r="F182" s="20"/>
      <c r="G182" s="20"/>
      <c r="H182" s="20"/>
      <c r="I182" s="20"/>
      <c r="J182" s="20"/>
      <c r="K182" s="20"/>
      <c r="N182" s="10"/>
    </row>
    <row r="183" spans="3:14" x14ac:dyDescent="0.2">
      <c r="C183" s="20"/>
      <c r="D183" s="20"/>
      <c r="E183" s="20"/>
      <c r="F183" s="20"/>
      <c r="G183" s="20"/>
      <c r="H183" s="20"/>
      <c r="I183" s="20"/>
      <c r="J183" s="20"/>
      <c r="K183" s="20"/>
      <c r="N183" s="10"/>
    </row>
    <row r="184" spans="3:14" x14ac:dyDescent="0.2">
      <c r="C184" s="20"/>
      <c r="D184" s="20"/>
      <c r="E184" s="20"/>
      <c r="F184" s="20"/>
      <c r="G184" s="20"/>
      <c r="H184" s="20"/>
      <c r="I184" s="20"/>
      <c r="J184" s="20"/>
      <c r="K184" s="20"/>
      <c r="N184" s="10"/>
    </row>
    <row r="185" spans="3:14" x14ac:dyDescent="0.2">
      <c r="C185" s="20"/>
      <c r="D185" s="20"/>
      <c r="E185" s="20"/>
      <c r="F185" s="20"/>
      <c r="G185" s="20"/>
      <c r="H185" s="20"/>
      <c r="I185" s="20"/>
      <c r="J185" s="20"/>
      <c r="K185" s="20"/>
      <c r="N185" s="10"/>
    </row>
    <row r="186" spans="3:14" x14ac:dyDescent="0.2">
      <c r="C186" s="20"/>
      <c r="D186" s="20"/>
      <c r="E186" s="20"/>
      <c r="F186" s="20"/>
      <c r="G186" s="20"/>
      <c r="H186" s="20"/>
      <c r="I186" s="20"/>
      <c r="J186" s="20"/>
      <c r="K186" s="20"/>
      <c r="N186" s="10"/>
    </row>
    <row r="187" spans="3:14" x14ac:dyDescent="0.2">
      <c r="C187" s="20"/>
      <c r="D187" s="20"/>
      <c r="E187" s="20"/>
      <c r="F187" s="20"/>
      <c r="G187" s="20"/>
      <c r="H187" s="20"/>
      <c r="I187" s="20"/>
      <c r="J187" s="20"/>
      <c r="K187" s="20"/>
      <c r="N187" s="10"/>
    </row>
    <row r="188" spans="3:14" x14ac:dyDescent="0.2">
      <c r="C188" s="20"/>
      <c r="D188" s="20"/>
      <c r="E188" s="20"/>
      <c r="F188" s="20"/>
      <c r="G188" s="20"/>
      <c r="H188" s="20"/>
      <c r="I188" s="20"/>
      <c r="J188" s="20"/>
      <c r="K188" s="20"/>
      <c r="N188" s="10"/>
    </row>
    <row r="189" spans="3:14" x14ac:dyDescent="0.2">
      <c r="C189" s="20"/>
      <c r="D189" s="20"/>
      <c r="E189" s="20"/>
      <c r="F189" s="20"/>
      <c r="G189" s="20"/>
      <c r="H189" s="20"/>
      <c r="I189" s="20"/>
      <c r="J189" s="20"/>
      <c r="K189" s="20"/>
      <c r="N189" s="10"/>
    </row>
    <row r="190" spans="3:14" x14ac:dyDescent="0.2">
      <c r="C190" s="20"/>
      <c r="D190" s="20"/>
      <c r="E190" s="20"/>
      <c r="F190" s="20"/>
      <c r="G190" s="20"/>
      <c r="H190" s="20"/>
      <c r="I190" s="20"/>
      <c r="J190" s="20"/>
      <c r="K190" s="20"/>
      <c r="N190" s="10"/>
    </row>
    <row r="191" spans="3:14" x14ac:dyDescent="0.2">
      <c r="C191" s="20"/>
      <c r="D191" s="20"/>
      <c r="E191" s="20"/>
      <c r="F191" s="20"/>
      <c r="G191" s="20"/>
      <c r="H191" s="20"/>
      <c r="I191" s="20"/>
      <c r="J191" s="20"/>
      <c r="K191" s="20"/>
      <c r="N191" s="10"/>
    </row>
    <row r="192" spans="3:14" x14ac:dyDescent="0.2">
      <c r="C192" s="20"/>
      <c r="D192" s="20"/>
      <c r="E192" s="20"/>
      <c r="F192" s="20"/>
      <c r="G192" s="20"/>
      <c r="H192" s="20"/>
      <c r="I192" s="20"/>
      <c r="J192" s="20"/>
      <c r="K192" s="20"/>
      <c r="N192" s="10"/>
    </row>
    <row r="193" spans="3:14" x14ac:dyDescent="0.2">
      <c r="C193" s="20"/>
      <c r="D193" s="20"/>
      <c r="E193" s="20"/>
      <c r="F193" s="20"/>
      <c r="G193" s="20"/>
      <c r="H193" s="20"/>
      <c r="I193" s="20"/>
      <c r="J193" s="20"/>
      <c r="K193" s="20"/>
      <c r="N193" s="10"/>
    </row>
    <row r="194" spans="3:14" x14ac:dyDescent="0.2">
      <c r="C194" s="20"/>
      <c r="D194" s="20"/>
      <c r="E194" s="20"/>
      <c r="F194" s="20"/>
      <c r="G194" s="20"/>
      <c r="H194" s="20"/>
      <c r="I194" s="20"/>
      <c r="J194" s="20"/>
      <c r="K194" s="20"/>
      <c r="N194" s="10"/>
    </row>
    <row r="195" spans="3:14" x14ac:dyDescent="0.2">
      <c r="C195" s="20"/>
      <c r="D195" s="20"/>
      <c r="E195" s="20"/>
      <c r="F195" s="20"/>
      <c r="G195" s="20"/>
      <c r="H195" s="20"/>
      <c r="I195" s="20"/>
      <c r="J195" s="20"/>
      <c r="K195" s="20"/>
      <c r="N195" s="10"/>
    </row>
    <row r="196" spans="3:14" x14ac:dyDescent="0.2">
      <c r="C196" s="20"/>
      <c r="D196" s="20"/>
      <c r="E196" s="20"/>
      <c r="F196" s="20"/>
      <c r="G196" s="20"/>
      <c r="H196" s="20"/>
      <c r="I196" s="20"/>
      <c r="J196" s="20"/>
      <c r="K196" s="20"/>
      <c r="N196" s="10"/>
    </row>
    <row r="197" spans="3:14" x14ac:dyDescent="0.2">
      <c r="C197" s="20"/>
      <c r="D197" s="20"/>
      <c r="E197" s="20"/>
      <c r="F197" s="20"/>
      <c r="G197" s="20"/>
      <c r="H197" s="20"/>
      <c r="I197" s="20"/>
      <c r="J197" s="20"/>
      <c r="K197" s="20"/>
      <c r="N197" s="10"/>
    </row>
    <row r="198" spans="3:14" x14ac:dyDescent="0.2">
      <c r="C198" s="20"/>
      <c r="D198" s="20"/>
      <c r="E198" s="20"/>
      <c r="F198" s="20"/>
      <c r="G198" s="20"/>
      <c r="H198" s="20"/>
      <c r="I198" s="20"/>
      <c r="J198" s="20"/>
      <c r="K198" s="20"/>
      <c r="N198" s="10"/>
    </row>
    <row r="199" spans="3:14" x14ac:dyDescent="0.2">
      <c r="C199" s="20"/>
      <c r="D199" s="20"/>
      <c r="E199" s="20"/>
      <c r="F199" s="20"/>
      <c r="G199" s="20"/>
      <c r="H199" s="20"/>
      <c r="I199" s="20"/>
      <c r="J199" s="20"/>
      <c r="K199" s="20"/>
      <c r="N199" s="10"/>
    </row>
    <row r="200" spans="3:14" x14ac:dyDescent="0.2">
      <c r="C200" s="20"/>
      <c r="D200" s="20"/>
      <c r="E200" s="20"/>
      <c r="F200" s="20"/>
      <c r="G200" s="20"/>
      <c r="H200" s="20"/>
      <c r="I200" s="20"/>
      <c r="J200" s="20"/>
      <c r="K200" s="20"/>
      <c r="N200" s="10"/>
    </row>
    <row r="201" spans="3:14" x14ac:dyDescent="0.2">
      <c r="C201" s="20"/>
      <c r="D201" s="20"/>
      <c r="E201" s="20"/>
      <c r="F201" s="20"/>
      <c r="G201" s="20"/>
      <c r="H201" s="20"/>
      <c r="I201" s="20"/>
      <c r="J201" s="20"/>
      <c r="K201" s="20"/>
      <c r="N201" s="10"/>
    </row>
    <row r="202" spans="3:14" x14ac:dyDescent="0.2">
      <c r="C202" s="20"/>
      <c r="D202" s="20"/>
      <c r="E202" s="20"/>
      <c r="F202" s="20"/>
      <c r="G202" s="20"/>
      <c r="H202" s="20"/>
      <c r="I202" s="20"/>
      <c r="J202" s="20"/>
      <c r="K202" s="20"/>
      <c r="N202" s="10"/>
    </row>
    <row r="203" spans="3:14" x14ac:dyDescent="0.2">
      <c r="C203" s="20"/>
      <c r="D203" s="20"/>
      <c r="E203" s="20"/>
      <c r="F203" s="20"/>
      <c r="G203" s="20"/>
      <c r="H203" s="20"/>
      <c r="I203" s="20"/>
      <c r="J203" s="20"/>
      <c r="K203" s="20"/>
      <c r="N203" s="10"/>
    </row>
    <row r="204" spans="3:14" x14ac:dyDescent="0.2">
      <c r="C204" s="20"/>
      <c r="D204" s="20"/>
      <c r="E204" s="20"/>
      <c r="F204" s="20"/>
      <c r="G204" s="20"/>
      <c r="H204" s="20"/>
      <c r="I204" s="20"/>
      <c r="J204" s="20"/>
      <c r="K204" s="20"/>
      <c r="N204" s="10"/>
    </row>
    <row r="205" spans="3:14" x14ac:dyDescent="0.2">
      <c r="C205" s="20"/>
      <c r="D205" s="20"/>
      <c r="E205" s="20"/>
      <c r="F205" s="20"/>
      <c r="G205" s="20"/>
      <c r="H205" s="20"/>
      <c r="I205" s="20"/>
      <c r="J205" s="20"/>
      <c r="K205" s="20"/>
      <c r="N205" s="10"/>
    </row>
    <row r="206" spans="3:14" x14ac:dyDescent="0.2">
      <c r="C206" s="20"/>
      <c r="D206" s="20"/>
      <c r="E206" s="20"/>
      <c r="F206" s="20"/>
      <c r="G206" s="20"/>
      <c r="H206" s="20"/>
      <c r="I206" s="20"/>
      <c r="J206" s="20"/>
      <c r="K206" s="20"/>
      <c r="N206" s="10"/>
    </row>
    <row r="207" spans="3:14" x14ac:dyDescent="0.2">
      <c r="C207" s="20"/>
      <c r="D207" s="20"/>
      <c r="E207" s="20"/>
      <c r="F207" s="20"/>
      <c r="G207" s="20"/>
      <c r="H207" s="20"/>
      <c r="I207" s="20"/>
      <c r="J207" s="20"/>
      <c r="K207" s="20"/>
      <c r="N207" s="10"/>
    </row>
    <row r="208" spans="3:14" x14ac:dyDescent="0.2">
      <c r="C208" s="20"/>
      <c r="D208" s="20"/>
      <c r="E208" s="20"/>
      <c r="F208" s="20"/>
      <c r="G208" s="20"/>
      <c r="H208" s="20"/>
      <c r="I208" s="20"/>
      <c r="J208" s="20"/>
      <c r="K208" s="20"/>
      <c r="N208" s="10"/>
    </row>
    <row r="209" spans="3:14" x14ac:dyDescent="0.2">
      <c r="C209" s="20"/>
      <c r="D209" s="20"/>
      <c r="E209" s="20"/>
      <c r="F209" s="20"/>
      <c r="G209" s="20"/>
      <c r="H209" s="20"/>
      <c r="I209" s="20"/>
      <c r="J209" s="20"/>
      <c r="K209" s="20"/>
      <c r="N209" s="10"/>
    </row>
    <row r="210" spans="3:14" x14ac:dyDescent="0.2">
      <c r="C210" s="20"/>
      <c r="D210" s="20"/>
      <c r="E210" s="20"/>
      <c r="F210" s="20"/>
      <c r="G210" s="20"/>
      <c r="H210" s="20"/>
      <c r="I210" s="20"/>
      <c r="J210" s="20"/>
      <c r="K210" s="20"/>
      <c r="N210" s="10"/>
    </row>
    <row r="211" spans="3:14" x14ac:dyDescent="0.2">
      <c r="C211" s="20"/>
      <c r="D211" s="20"/>
      <c r="E211" s="20"/>
      <c r="F211" s="20"/>
      <c r="G211" s="20"/>
      <c r="H211" s="20"/>
      <c r="I211" s="20"/>
      <c r="J211" s="20"/>
      <c r="K211" s="20"/>
      <c r="N211" s="10"/>
    </row>
    <row r="212" spans="3:14" x14ac:dyDescent="0.2">
      <c r="C212" s="20"/>
      <c r="D212" s="20"/>
      <c r="E212" s="20"/>
      <c r="F212" s="20"/>
      <c r="G212" s="20"/>
      <c r="H212" s="20"/>
      <c r="I212" s="20"/>
      <c r="J212" s="20"/>
      <c r="K212" s="20"/>
      <c r="N212" s="10"/>
    </row>
    <row r="213" spans="3:14" x14ac:dyDescent="0.2">
      <c r="C213" s="20"/>
      <c r="D213" s="20"/>
      <c r="E213" s="20"/>
      <c r="F213" s="20"/>
      <c r="G213" s="20"/>
      <c r="H213" s="20"/>
      <c r="I213" s="20"/>
      <c r="J213" s="20"/>
      <c r="K213" s="20"/>
      <c r="N213" s="10"/>
    </row>
    <row r="214" spans="3:14" x14ac:dyDescent="0.2">
      <c r="C214" s="20"/>
      <c r="D214" s="20"/>
      <c r="E214" s="20"/>
      <c r="F214" s="20"/>
      <c r="G214" s="20"/>
      <c r="H214" s="20"/>
      <c r="I214" s="20"/>
      <c r="J214" s="20"/>
      <c r="K214" s="20"/>
      <c r="N214" s="10"/>
    </row>
    <row r="215" spans="3:14" x14ac:dyDescent="0.2">
      <c r="C215" s="20"/>
      <c r="D215" s="20"/>
      <c r="E215" s="20"/>
      <c r="F215" s="20"/>
      <c r="G215" s="20"/>
      <c r="H215" s="20"/>
      <c r="I215" s="20"/>
      <c r="J215" s="20"/>
      <c r="K215" s="20"/>
      <c r="N215" s="10"/>
    </row>
    <row r="216" spans="3:14" x14ac:dyDescent="0.2">
      <c r="C216" s="20"/>
      <c r="D216" s="20"/>
      <c r="E216" s="20"/>
      <c r="F216" s="20"/>
      <c r="G216" s="20"/>
      <c r="H216" s="20"/>
      <c r="I216" s="20"/>
      <c r="J216" s="20"/>
      <c r="K216" s="20"/>
      <c r="N216" s="10"/>
    </row>
    <row r="217" spans="3:14" x14ac:dyDescent="0.2">
      <c r="C217" s="20"/>
      <c r="D217" s="20"/>
      <c r="E217" s="20"/>
      <c r="F217" s="20"/>
      <c r="G217" s="20"/>
      <c r="H217" s="20"/>
      <c r="I217" s="20"/>
      <c r="J217" s="20"/>
      <c r="K217" s="20"/>
      <c r="N217" s="10"/>
    </row>
    <row r="218" spans="3:14" x14ac:dyDescent="0.2">
      <c r="C218" s="20"/>
      <c r="D218" s="20"/>
      <c r="E218" s="20"/>
      <c r="F218" s="20"/>
      <c r="G218" s="20"/>
      <c r="H218" s="20"/>
      <c r="I218" s="20"/>
      <c r="J218" s="20"/>
      <c r="K218" s="20"/>
      <c r="N218" s="10"/>
    </row>
    <row r="219" spans="3:14" x14ac:dyDescent="0.2">
      <c r="C219" s="20"/>
      <c r="D219" s="20"/>
      <c r="E219" s="20"/>
      <c r="F219" s="20"/>
      <c r="G219" s="20"/>
      <c r="H219" s="20"/>
      <c r="I219" s="20"/>
      <c r="J219" s="20"/>
      <c r="K219" s="20"/>
      <c r="N219" s="10"/>
    </row>
    <row r="220" spans="3:14" x14ac:dyDescent="0.2">
      <c r="C220" s="20"/>
      <c r="D220" s="20"/>
      <c r="E220" s="20"/>
      <c r="F220" s="20"/>
      <c r="G220" s="20"/>
      <c r="H220" s="20"/>
      <c r="I220" s="20"/>
      <c r="J220" s="20"/>
      <c r="K220" s="20"/>
      <c r="N220" s="10"/>
    </row>
    <row r="221" spans="3:14" x14ac:dyDescent="0.2">
      <c r="C221" s="20"/>
      <c r="D221" s="20"/>
      <c r="E221" s="20"/>
      <c r="F221" s="20"/>
      <c r="G221" s="20"/>
      <c r="H221" s="20"/>
      <c r="I221" s="20"/>
      <c r="J221" s="20"/>
      <c r="K221" s="20"/>
      <c r="N221" s="10"/>
    </row>
    <row r="222" spans="3:14" x14ac:dyDescent="0.2">
      <c r="C222" s="20"/>
      <c r="D222" s="20"/>
      <c r="E222" s="20"/>
      <c r="F222" s="20"/>
      <c r="G222" s="20"/>
      <c r="H222" s="20"/>
      <c r="I222" s="20"/>
      <c r="J222" s="20"/>
      <c r="K222" s="20"/>
      <c r="N222" s="10"/>
    </row>
    <row r="223" spans="3:14" x14ac:dyDescent="0.2">
      <c r="C223" s="20"/>
      <c r="D223" s="20"/>
      <c r="E223" s="20"/>
      <c r="F223" s="20"/>
      <c r="G223" s="20"/>
      <c r="H223" s="20"/>
      <c r="I223" s="20"/>
      <c r="J223" s="20"/>
      <c r="K223" s="20"/>
      <c r="N223" s="10"/>
    </row>
    <row r="224" spans="3:14" x14ac:dyDescent="0.2">
      <c r="C224" s="20"/>
      <c r="D224" s="20"/>
      <c r="E224" s="20"/>
      <c r="F224" s="20"/>
      <c r="G224" s="20"/>
      <c r="H224" s="20"/>
      <c r="I224" s="20"/>
      <c r="J224" s="20"/>
      <c r="K224" s="20"/>
      <c r="N224" s="10"/>
    </row>
    <row r="225" spans="3:14" x14ac:dyDescent="0.2">
      <c r="C225" s="20"/>
      <c r="D225" s="20"/>
      <c r="E225" s="20"/>
      <c r="F225" s="20"/>
      <c r="G225" s="20"/>
      <c r="H225" s="20"/>
      <c r="I225" s="20"/>
      <c r="J225" s="20"/>
      <c r="K225" s="20"/>
      <c r="N225" s="10"/>
    </row>
    <row r="226" spans="3:14" x14ac:dyDescent="0.2">
      <c r="C226" s="20"/>
      <c r="D226" s="20"/>
      <c r="E226" s="20"/>
      <c r="F226" s="20"/>
      <c r="G226" s="20"/>
      <c r="H226" s="20"/>
      <c r="I226" s="20"/>
      <c r="J226" s="20"/>
      <c r="K226" s="20"/>
      <c r="N226" s="10"/>
    </row>
    <row r="227" spans="3:14" x14ac:dyDescent="0.2">
      <c r="C227" s="20"/>
      <c r="D227" s="20"/>
      <c r="E227" s="20"/>
      <c r="F227" s="20"/>
      <c r="G227" s="20"/>
      <c r="H227" s="20"/>
      <c r="I227" s="20"/>
      <c r="J227" s="20"/>
      <c r="K227" s="20"/>
      <c r="N227" s="10"/>
    </row>
    <row r="228" spans="3:14" x14ac:dyDescent="0.2">
      <c r="C228" s="20"/>
      <c r="D228" s="20"/>
      <c r="E228" s="20"/>
      <c r="F228" s="20"/>
      <c r="G228" s="20"/>
      <c r="H228" s="20"/>
      <c r="I228" s="20"/>
      <c r="J228" s="20"/>
      <c r="K228" s="20"/>
      <c r="N228" s="10"/>
    </row>
    <row r="229" spans="3:14" x14ac:dyDescent="0.2">
      <c r="C229" s="20"/>
      <c r="D229" s="20"/>
      <c r="E229" s="20"/>
      <c r="F229" s="20"/>
      <c r="G229" s="20"/>
      <c r="H229" s="20"/>
      <c r="I229" s="20"/>
      <c r="J229" s="20"/>
      <c r="K229" s="20"/>
      <c r="N229" s="10"/>
    </row>
    <row r="230" spans="3:14" x14ac:dyDescent="0.2">
      <c r="C230" s="20"/>
      <c r="D230" s="20"/>
      <c r="E230" s="20"/>
      <c r="F230" s="20"/>
      <c r="G230" s="20"/>
      <c r="H230" s="20"/>
      <c r="I230" s="20"/>
      <c r="J230" s="20"/>
      <c r="K230" s="20"/>
      <c r="N230" s="10"/>
    </row>
    <row r="231" spans="3:14" x14ac:dyDescent="0.2">
      <c r="C231" s="20"/>
      <c r="D231" s="20"/>
      <c r="E231" s="20"/>
      <c r="F231" s="20"/>
      <c r="G231" s="20"/>
      <c r="H231" s="20"/>
      <c r="I231" s="20"/>
      <c r="J231" s="20"/>
      <c r="K231" s="20"/>
      <c r="N231" s="10"/>
    </row>
    <row r="232" spans="3:14" x14ac:dyDescent="0.2">
      <c r="C232" s="20"/>
      <c r="D232" s="20"/>
      <c r="E232" s="20"/>
      <c r="F232" s="20"/>
      <c r="G232" s="20"/>
      <c r="H232" s="20"/>
      <c r="I232" s="20"/>
      <c r="J232" s="20"/>
      <c r="K232" s="20"/>
      <c r="N232" s="10"/>
    </row>
    <row r="233" spans="3:14" x14ac:dyDescent="0.2">
      <c r="C233" s="20"/>
      <c r="D233" s="20"/>
      <c r="E233" s="20"/>
      <c r="F233" s="20"/>
      <c r="G233" s="20"/>
      <c r="H233" s="20"/>
      <c r="I233" s="20"/>
      <c r="J233" s="20"/>
      <c r="K233" s="20"/>
      <c r="N233" s="10"/>
    </row>
    <row r="234" spans="3:14" x14ac:dyDescent="0.2">
      <c r="C234" s="20"/>
      <c r="D234" s="20"/>
      <c r="E234" s="20"/>
      <c r="F234" s="20"/>
      <c r="G234" s="20"/>
      <c r="H234" s="20"/>
      <c r="I234" s="20"/>
      <c r="J234" s="20"/>
      <c r="K234" s="20"/>
      <c r="N234" s="10"/>
    </row>
    <row r="235" spans="3:14" x14ac:dyDescent="0.2">
      <c r="C235" s="20"/>
      <c r="D235" s="20"/>
      <c r="E235" s="20"/>
      <c r="F235" s="20"/>
      <c r="G235" s="20"/>
      <c r="H235" s="20"/>
      <c r="I235" s="20"/>
      <c r="J235" s="20"/>
      <c r="K235" s="20"/>
      <c r="N235" s="10"/>
    </row>
    <row r="236" spans="3:14" x14ac:dyDescent="0.2">
      <c r="C236" s="20"/>
      <c r="D236" s="20"/>
      <c r="E236" s="20"/>
      <c r="F236" s="20"/>
      <c r="G236" s="20"/>
      <c r="H236" s="20"/>
      <c r="I236" s="20"/>
      <c r="J236" s="20"/>
      <c r="K236" s="20"/>
      <c r="N236" s="10"/>
    </row>
    <row r="237" spans="3:14" x14ac:dyDescent="0.2">
      <c r="C237" s="20"/>
      <c r="D237" s="20"/>
      <c r="E237" s="20"/>
      <c r="F237" s="20"/>
      <c r="G237" s="20"/>
      <c r="H237" s="20"/>
      <c r="I237" s="20"/>
      <c r="J237" s="20"/>
      <c r="K237" s="20"/>
      <c r="N237" s="10"/>
    </row>
    <row r="238" spans="3:14" x14ac:dyDescent="0.2">
      <c r="C238" s="20"/>
      <c r="D238" s="20"/>
      <c r="E238" s="20"/>
      <c r="F238" s="20"/>
      <c r="G238" s="20"/>
      <c r="H238" s="20"/>
      <c r="I238" s="20"/>
      <c r="J238" s="20"/>
      <c r="K238" s="20"/>
      <c r="N238" s="10"/>
    </row>
    <row r="239" spans="3:14" x14ac:dyDescent="0.2">
      <c r="C239" s="20"/>
      <c r="D239" s="20"/>
      <c r="E239" s="20"/>
      <c r="F239" s="20"/>
      <c r="G239" s="20"/>
      <c r="H239" s="20"/>
      <c r="I239" s="20"/>
      <c r="J239" s="20"/>
      <c r="K239" s="20"/>
      <c r="N239" s="10"/>
    </row>
    <row r="240" spans="3:14" x14ac:dyDescent="0.2">
      <c r="C240" s="20"/>
      <c r="D240" s="20"/>
      <c r="E240" s="20"/>
      <c r="F240" s="20"/>
      <c r="G240" s="20"/>
      <c r="H240" s="20"/>
      <c r="I240" s="20"/>
      <c r="J240" s="20"/>
      <c r="K240" s="20"/>
      <c r="N240" s="10"/>
    </row>
    <row r="241" spans="3:14" x14ac:dyDescent="0.2">
      <c r="C241" s="20"/>
      <c r="D241" s="20"/>
      <c r="E241" s="20"/>
      <c r="F241" s="20"/>
      <c r="G241" s="20"/>
      <c r="H241" s="20"/>
      <c r="I241" s="20"/>
      <c r="J241" s="20"/>
      <c r="K241" s="20"/>
      <c r="N241" s="10"/>
    </row>
    <row r="242" spans="3:14" x14ac:dyDescent="0.2">
      <c r="C242" s="20"/>
      <c r="D242" s="20"/>
      <c r="E242" s="20"/>
      <c r="F242" s="20"/>
      <c r="G242" s="20"/>
      <c r="H242" s="20"/>
      <c r="I242" s="20"/>
      <c r="J242" s="20"/>
      <c r="K242" s="20"/>
      <c r="N242" s="10"/>
    </row>
    <row r="243" spans="3:14" x14ac:dyDescent="0.2">
      <c r="C243" s="20"/>
      <c r="D243" s="20"/>
      <c r="E243" s="20"/>
      <c r="F243" s="20"/>
      <c r="G243" s="20"/>
      <c r="H243" s="20"/>
      <c r="I243" s="20"/>
      <c r="J243" s="20"/>
      <c r="K243" s="20"/>
      <c r="N243" s="10"/>
    </row>
    <row r="244" spans="3:14" x14ac:dyDescent="0.2">
      <c r="C244" s="20"/>
      <c r="D244" s="20"/>
      <c r="E244" s="20"/>
      <c r="F244" s="20"/>
      <c r="G244" s="20"/>
      <c r="H244" s="20"/>
      <c r="I244" s="20"/>
      <c r="J244" s="20"/>
      <c r="K244" s="20"/>
      <c r="N244" s="10"/>
    </row>
    <row r="245" spans="3:14" x14ac:dyDescent="0.2">
      <c r="C245" s="20"/>
      <c r="D245" s="20"/>
      <c r="E245" s="20"/>
      <c r="F245" s="20"/>
      <c r="G245" s="20"/>
      <c r="H245" s="20"/>
      <c r="I245" s="20"/>
      <c r="J245" s="20"/>
      <c r="K245" s="20"/>
      <c r="N245" s="10"/>
    </row>
    <row r="246" spans="3:14" x14ac:dyDescent="0.2">
      <c r="C246" s="20"/>
      <c r="D246" s="20"/>
      <c r="E246" s="20"/>
      <c r="F246" s="20"/>
      <c r="G246" s="20"/>
      <c r="H246" s="20"/>
      <c r="I246" s="20"/>
      <c r="J246" s="20"/>
      <c r="K246" s="20"/>
      <c r="N246" s="10"/>
    </row>
    <row r="247" spans="3:14" x14ac:dyDescent="0.2">
      <c r="C247" s="20"/>
      <c r="D247" s="20"/>
      <c r="E247" s="20"/>
      <c r="F247" s="20"/>
      <c r="G247" s="20"/>
      <c r="H247" s="20"/>
      <c r="I247" s="20"/>
      <c r="J247" s="20"/>
      <c r="K247" s="20"/>
      <c r="N247" s="10"/>
    </row>
    <row r="248" spans="3:14" x14ac:dyDescent="0.2">
      <c r="C248" s="20"/>
      <c r="D248" s="20"/>
      <c r="E248" s="20"/>
      <c r="F248" s="20"/>
      <c r="G248" s="20"/>
      <c r="H248" s="20"/>
      <c r="I248" s="20"/>
      <c r="J248" s="20"/>
      <c r="K248" s="20"/>
      <c r="N248" s="10"/>
    </row>
    <row r="249" spans="3:14" x14ac:dyDescent="0.2">
      <c r="C249" s="20"/>
      <c r="D249" s="20"/>
      <c r="E249" s="20"/>
      <c r="F249" s="20"/>
      <c r="G249" s="20"/>
      <c r="H249" s="20"/>
      <c r="I249" s="20"/>
      <c r="J249" s="20"/>
      <c r="K249" s="20"/>
      <c r="N249" s="10"/>
    </row>
    <row r="250" spans="3:14" x14ac:dyDescent="0.2">
      <c r="C250" s="20"/>
      <c r="D250" s="20"/>
      <c r="E250" s="20"/>
      <c r="F250" s="20"/>
      <c r="G250" s="20"/>
      <c r="H250" s="20"/>
      <c r="I250" s="20"/>
      <c r="J250" s="20"/>
      <c r="K250" s="20"/>
      <c r="N250" s="10"/>
    </row>
    <row r="251" spans="3:14" x14ac:dyDescent="0.2">
      <c r="C251" s="20"/>
      <c r="D251" s="20"/>
      <c r="E251" s="20"/>
      <c r="F251" s="20"/>
      <c r="G251" s="20"/>
      <c r="H251" s="20"/>
      <c r="I251" s="20"/>
      <c r="J251" s="20"/>
      <c r="K251" s="20"/>
      <c r="N251" s="10"/>
    </row>
    <row r="252" spans="3:14" x14ac:dyDescent="0.2">
      <c r="E252" s="10"/>
      <c r="F252" s="53"/>
      <c r="G252" s="9"/>
      <c r="J252" s="17"/>
      <c r="K252" s="17"/>
      <c r="N252" s="10"/>
    </row>
    <row r="253" spans="3:14" x14ac:dyDescent="0.2">
      <c r="E253" s="10"/>
      <c r="F253" s="53"/>
      <c r="G253" s="9"/>
      <c r="J253" s="17"/>
      <c r="K253" s="17"/>
      <c r="N253" s="10"/>
    </row>
    <row r="254" spans="3:14" x14ac:dyDescent="0.2">
      <c r="E254" s="10"/>
      <c r="F254" s="53"/>
      <c r="G254" s="9"/>
      <c r="J254" s="17"/>
      <c r="K254" s="17"/>
      <c r="N254" s="10"/>
    </row>
    <row r="255" spans="3:14" x14ac:dyDescent="0.2">
      <c r="E255" s="10"/>
      <c r="F255" s="53"/>
      <c r="G255" s="9"/>
      <c r="J255" s="17"/>
      <c r="K255" s="17"/>
      <c r="N255" s="10"/>
    </row>
    <row r="256" spans="3:14" x14ac:dyDescent="0.2">
      <c r="E256" s="10"/>
      <c r="F256" s="53"/>
      <c r="G256" s="9"/>
      <c r="J256" s="17"/>
      <c r="K256" s="17"/>
      <c r="N256" s="10"/>
    </row>
    <row r="257" spans="5:14" x14ac:dyDescent="0.2">
      <c r="E257" s="10"/>
      <c r="F257" s="53"/>
      <c r="G257" s="9"/>
      <c r="J257" s="17"/>
      <c r="K257" s="17"/>
      <c r="N257" s="10"/>
    </row>
    <row r="258" spans="5:14" x14ac:dyDescent="0.2">
      <c r="E258" s="10"/>
      <c r="F258" s="53"/>
      <c r="G258" s="9"/>
      <c r="J258" s="17"/>
      <c r="K258" s="17"/>
      <c r="N258" s="10"/>
    </row>
    <row r="259" spans="5:14" x14ac:dyDescent="0.2">
      <c r="E259" s="10"/>
      <c r="F259" s="53"/>
      <c r="G259" s="9"/>
      <c r="J259" s="17"/>
      <c r="K259" s="17"/>
      <c r="N259" s="10"/>
    </row>
    <row r="260" spans="5:14" x14ac:dyDescent="0.2">
      <c r="E260" s="10"/>
      <c r="F260" s="53"/>
      <c r="G260" s="9"/>
      <c r="J260" s="17"/>
      <c r="K260" s="17"/>
      <c r="N260" s="10"/>
    </row>
    <row r="261" spans="5:14" x14ac:dyDescent="0.2">
      <c r="E261" s="10"/>
      <c r="F261" s="53"/>
      <c r="G261" s="9"/>
      <c r="J261" s="17"/>
      <c r="K261" s="17"/>
      <c r="N261" s="10"/>
    </row>
    <row r="262" spans="5:14" x14ac:dyDescent="0.2">
      <c r="E262" s="10"/>
      <c r="F262" s="53"/>
      <c r="G262" s="9"/>
      <c r="J262" s="17"/>
      <c r="K262" s="17"/>
      <c r="N262" s="10"/>
    </row>
    <row r="263" spans="5:14" x14ac:dyDescent="0.2">
      <c r="E263" s="10"/>
      <c r="F263" s="53"/>
      <c r="G263" s="9"/>
      <c r="J263" s="17"/>
      <c r="K263" s="17"/>
      <c r="N263" s="10"/>
    </row>
    <row r="264" spans="5:14" x14ac:dyDescent="0.2">
      <c r="E264" s="10"/>
      <c r="F264" s="53"/>
      <c r="G264" s="9"/>
      <c r="J264" s="17"/>
      <c r="K264" s="17"/>
      <c r="N264" s="10"/>
    </row>
    <row r="265" spans="5:14" x14ac:dyDescent="0.2">
      <c r="E265" s="10"/>
      <c r="F265" s="53"/>
      <c r="G265" s="9"/>
      <c r="J265" s="17"/>
      <c r="K265" s="17"/>
      <c r="N265" s="10"/>
    </row>
    <row r="266" spans="5:14" x14ac:dyDescent="0.2">
      <c r="E266" s="10"/>
      <c r="F266" s="53"/>
      <c r="G266" s="9"/>
      <c r="J266" s="17"/>
      <c r="K266" s="17"/>
      <c r="N266" s="10"/>
    </row>
    <row r="267" spans="5:14" x14ac:dyDescent="0.2">
      <c r="E267" s="10"/>
      <c r="F267" s="53"/>
      <c r="G267" s="9"/>
      <c r="J267" s="17"/>
      <c r="K267" s="17"/>
      <c r="N267" s="10"/>
    </row>
    <row r="268" spans="5:14" x14ac:dyDescent="0.2">
      <c r="E268" s="10"/>
      <c r="F268" s="53"/>
      <c r="G268" s="9"/>
      <c r="J268" s="17"/>
      <c r="K268" s="17"/>
      <c r="N268" s="10"/>
    </row>
    <row r="269" spans="5:14" x14ac:dyDescent="0.2">
      <c r="E269" s="10"/>
      <c r="F269" s="53"/>
      <c r="G269" s="9"/>
      <c r="J269" s="17"/>
      <c r="K269" s="17"/>
      <c r="N269" s="10"/>
    </row>
    <row r="270" spans="5:14" x14ac:dyDescent="0.2">
      <c r="E270" s="10"/>
      <c r="F270" s="53"/>
      <c r="G270" s="9"/>
      <c r="J270" s="17"/>
      <c r="K270" s="17"/>
      <c r="N270" s="10"/>
    </row>
    <row r="271" spans="5:14" x14ac:dyDescent="0.2">
      <c r="E271" s="10"/>
      <c r="F271" s="53"/>
      <c r="G271" s="9"/>
      <c r="J271" s="17"/>
      <c r="K271" s="17"/>
      <c r="N271" s="10"/>
    </row>
    <row r="272" spans="5:14" x14ac:dyDescent="0.2">
      <c r="E272" s="10"/>
      <c r="F272" s="53"/>
      <c r="G272" s="9"/>
      <c r="J272" s="17"/>
      <c r="K272" s="17"/>
      <c r="N272" s="10"/>
    </row>
    <row r="273" spans="5:14" x14ac:dyDescent="0.2">
      <c r="E273" s="10"/>
      <c r="F273" s="53"/>
      <c r="G273" s="9"/>
      <c r="J273" s="17"/>
      <c r="K273" s="17"/>
      <c r="N273" s="10"/>
    </row>
    <row r="274" spans="5:14" x14ac:dyDescent="0.2">
      <c r="E274" s="10"/>
      <c r="F274" s="53"/>
      <c r="G274" s="9"/>
      <c r="J274" s="17"/>
      <c r="K274" s="17"/>
      <c r="N274" s="10"/>
    </row>
    <row r="275" spans="5:14" x14ac:dyDescent="0.2">
      <c r="E275" s="10"/>
      <c r="F275" s="53"/>
      <c r="G275" s="9"/>
      <c r="J275" s="17"/>
      <c r="K275" s="17"/>
      <c r="N275" s="10"/>
    </row>
    <row r="276" spans="5:14" x14ac:dyDescent="0.2">
      <c r="E276" s="10"/>
      <c r="F276" s="53"/>
      <c r="G276" s="9"/>
      <c r="J276" s="17"/>
      <c r="K276" s="17"/>
      <c r="N276" s="10"/>
    </row>
    <row r="277" spans="5:14" x14ac:dyDescent="0.2">
      <c r="E277" s="10"/>
      <c r="F277" s="53"/>
      <c r="G277" s="9"/>
      <c r="J277" s="17"/>
      <c r="K277" s="17"/>
      <c r="N277" s="10"/>
    </row>
    <row r="278" spans="5:14" x14ac:dyDescent="0.2">
      <c r="E278" s="10"/>
      <c r="F278" s="53"/>
      <c r="G278" s="9"/>
      <c r="J278" s="17"/>
      <c r="K278" s="17"/>
      <c r="N278" s="10"/>
    </row>
    <row r="279" spans="5:14" x14ac:dyDescent="0.2">
      <c r="E279" s="10"/>
      <c r="F279" s="53"/>
      <c r="G279" s="9"/>
      <c r="J279" s="17"/>
      <c r="K279" s="17"/>
      <c r="N279" s="10"/>
    </row>
    <row r="280" spans="5:14" x14ac:dyDescent="0.2">
      <c r="E280" s="10"/>
      <c r="F280" s="53"/>
      <c r="G280" s="9"/>
      <c r="J280" s="17"/>
      <c r="K280" s="17"/>
      <c r="N280" s="10"/>
    </row>
    <row r="281" spans="5:14" x14ac:dyDescent="0.2">
      <c r="E281" s="10"/>
      <c r="F281" s="53"/>
      <c r="G281" s="9"/>
      <c r="J281" s="17"/>
      <c r="K281" s="17"/>
      <c r="N281" s="10"/>
    </row>
    <row r="282" spans="5:14" x14ac:dyDescent="0.2">
      <c r="E282" s="10"/>
      <c r="F282" s="53"/>
      <c r="G282" s="9"/>
      <c r="J282" s="17"/>
      <c r="K282" s="17"/>
      <c r="N282" s="10"/>
    </row>
    <row r="283" spans="5:14" x14ac:dyDescent="0.2">
      <c r="E283" s="10"/>
      <c r="F283" s="53"/>
      <c r="G283" s="9"/>
      <c r="J283" s="17"/>
      <c r="K283" s="17"/>
      <c r="N283" s="10"/>
    </row>
    <row r="284" spans="5:14" x14ac:dyDescent="0.2">
      <c r="E284" s="10"/>
      <c r="F284" s="53"/>
      <c r="G284" s="9"/>
      <c r="J284" s="17"/>
      <c r="K284" s="17"/>
      <c r="N284" s="10"/>
    </row>
    <row r="285" spans="5:14" x14ac:dyDescent="0.2">
      <c r="E285" s="10"/>
      <c r="F285" s="53"/>
      <c r="G285" s="9"/>
      <c r="J285" s="17"/>
      <c r="K285" s="17"/>
      <c r="N285" s="10"/>
    </row>
    <row r="286" spans="5:14" x14ac:dyDescent="0.2">
      <c r="E286" s="10"/>
      <c r="F286" s="53"/>
      <c r="G286" s="9"/>
      <c r="J286" s="17"/>
      <c r="K286" s="17"/>
      <c r="N286" s="10"/>
    </row>
    <row r="287" spans="5:14" x14ac:dyDescent="0.2">
      <c r="E287" s="10"/>
      <c r="F287" s="53"/>
      <c r="G287" s="9"/>
      <c r="J287" s="17"/>
      <c r="K287" s="17"/>
      <c r="N287" s="10"/>
    </row>
    <row r="288" spans="5:14" x14ac:dyDescent="0.2">
      <c r="E288" s="10"/>
      <c r="F288" s="53"/>
      <c r="G288" s="9"/>
      <c r="J288" s="17"/>
      <c r="K288" s="17"/>
      <c r="N288" s="10"/>
    </row>
    <row r="289" spans="5:14" x14ac:dyDescent="0.2">
      <c r="E289" s="10"/>
      <c r="F289" s="53"/>
      <c r="G289" s="9"/>
      <c r="J289" s="17"/>
      <c r="K289" s="17"/>
      <c r="N289" s="10"/>
    </row>
    <row r="290" spans="5:14" x14ac:dyDescent="0.2">
      <c r="E290" s="10"/>
      <c r="F290" s="53"/>
      <c r="G290" s="9"/>
      <c r="J290" s="17"/>
      <c r="K290" s="17"/>
      <c r="N290" s="10"/>
    </row>
    <row r="291" spans="5:14" x14ac:dyDescent="0.2">
      <c r="E291" s="10"/>
      <c r="F291" s="53"/>
      <c r="G291" s="9"/>
      <c r="J291" s="17"/>
      <c r="K291" s="17"/>
      <c r="N291" s="10"/>
    </row>
    <row r="292" spans="5:14" x14ac:dyDescent="0.2">
      <c r="E292" s="10"/>
      <c r="F292" s="53"/>
      <c r="G292" s="9"/>
      <c r="J292" s="17"/>
      <c r="K292" s="17"/>
      <c r="N292" s="10"/>
    </row>
    <row r="293" spans="5:14" x14ac:dyDescent="0.2">
      <c r="E293" s="10"/>
      <c r="F293" s="53"/>
      <c r="G293" s="9"/>
      <c r="J293" s="17"/>
      <c r="K293" s="17"/>
      <c r="N293" s="10"/>
    </row>
    <row r="294" spans="5:14" x14ac:dyDescent="0.2">
      <c r="E294" s="10"/>
      <c r="F294" s="53"/>
      <c r="G294" s="9"/>
      <c r="J294" s="17"/>
      <c r="K294" s="17"/>
      <c r="N294" s="10"/>
    </row>
    <row r="295" spans="5:14" x14ac:dyDescent="0.2">
      <c r="E295" s="10"/>
      <c r="F295" s="53"/>
      <c r="G295" s="9"/>
      <c r="J295" s="17"/>
      <c r="K295" s="17"/>
      <c r="N295" s="10"/>
    </row>
    <row r="296" spans="5:14" x14ac:dyDescent="0.2">
      <c r="E296" s="10"/>
      <c r="F296" s="53"/>
      <c r="G296" s="9"/>
      <c r="J296" s="17"/>
      <c r="K296" s="17"/>
      <c r="N296" s="10"/>
    </row>
    <row r="297" spans="5:14" x14ac:dyDescent="0.2">
      <c r="E297" s="10"/>
      <c r="F297" s="53"/>
      <c r="G297" s="9"/>
      <c r="J297" s="17"/>
      <c r="K297" s="17"/>
      <c r="N297" s="10"/>
    </row>
    <row r="298" spans="5:14" x14ac:dyDescent="0.2">
      <c r="E298" s="10"/>
      <c r="F298" s="53"/>
      <c r="G298" s="9"/>
      <c r="J298" s="17"/>
      <c r="K298" s="17"/>
      <c r="N298" s="10"/>
    </row>
    <row r="299" spans="5:14" x14ac:dyDescent="0.2">
      <c r="E299" s="10"/>
      <c r="F299" s="53"/>
      <c r="G299" s="9"/>
      <c r="J299" s="17"/>
      <c r="K299" s="17"/>
      <c r="N299" s="10"/>
    </row>
    <row r="300" spans="5:14" x14ac:dyDescent="0.2">
      <c r="E300" s="10"/>
      <c r="F300" s="53"/>
      <c r="G300" s="9"/>
      <c r="J300" s="17"/>
      <c r="K300" s="17"/>
      <c r="N300" s="10"/>
    </row>
    <row r="301" spans="5:14" x14ac:dyDescent="0.2">
      <c r="E301" s="10"/>
      <c r="F301" s="53"/>
      <c r="G301" s="9"/>
      <c r="J301" s="17"/>
      <c r="K301" s="17"/>
      <c r="N301" s="10"/>
    </row>
    <row r="302" spans="5:14" x14ac:dyDescent="0.2">
      <c r="E302" s="10"/>
      <c r="F302" s="53"/>
      <c r="G302" s="9"/>
      <c r="J302" s="17"/>
      <c r="K302" s="17"/>
      <c r="N302" s="10"/>
    </row>
    <row r="303" spans="5:14" x14ac:dyDescent="0.2">
      <c r="E303" s="10"/>
      <c r="F303" s="53"/>
      <c r="G303" s="9"/>
      <c r="J303" s="17"/>
      <c r="K303" s="17"/>
      <c r="N303" s="10"/>
    </row>
    <row r="304" spans="5:14" x14ac:dyDescent="0.2">
      <c r="E304" s="10"/>
      <c r="F304" s="53"/>
      <c r="G304" s="9"/>
      <c r="J304" s="17"/>
      <c r="K304" s="17"/>
      <c r="N304" s="10"/>
    </row>
    <row r="305" spans="5:14" x14ac:dyDescent="0.2">
      <c r="E305" s="10"/>
      <c r="F305" s="53"/>
      <c r="G305" s="9"/>
      <c r="J305" s="17"/>
      <c r="K305" s="17"/>
      <c r="N305" s="10"/>
    </row>
    <row r="306" spans="5:14" x14ac:dyDescent="0.2">
      <c r="E306" s="10"/>
      <c r="F306" s="53"/>
      <c r="G306" s="9"/>
      <c r="J306" s="17"/>
      <c r="K306" s="17"/>
      <c r="N306" s="10"/>
    </row>
    <row r="307" spans="5:14" x14ac:dyDescent="0.2">
      <c r="E307" s="10"/>
      <c r="F307" s="53"/>
      <c r="G307" s="9"/>
      <c r="J307" s="17"/>
      <c r="K307" s="17"/>
      <c r="N307" s="10"/>
    </row>
    <row r="308" spans="5:14" x14ac:dyDescent="0.2">
      <c r="E308" s="10"/>
      <c r="F308" s="53"/>
      <c r="G308" s="9"/>
      <c r="J308" s="17"/>
      <c r="K308" s="17"/>
      <c r="N308" s="10"/>
    </row>
    <row r="309" spans="5:14" x14ac:dyDescent="0.2">
      <c r="E309" s="10"/>
      <c r="F309" s="53"/>
      <c r="G309" s="9"/>
      <c r="J309" s="17"/>
      <c r="K309" s="17"/>
      <c r="N309" s="10"/>
    </row>
    <row r="310" spans="5:14" x14ac:dyDescent="0.2">
      <c r="E310" s="10"/>
      <c r="F310" s="53"/>
      <c r="G310" s="9"/>
      <c r="J310" s="17"/>
      <c r="K310" s="17"/>
      <c r="N310" s="10"/>
    </row>
    <row r="311" spans="5:14" x14ac:dyDescent="0.2">
      <c r="E311" s="10"/>
      <c r="F311" s="53"/>
      <c r="G311" s="9"/>
      <c r="J311" s="17"/>
      <c r="K311" s="17"/>
      <c r="N311" s="10"/>
    </row>
    <row r="312" spans="5:14" x14ac:dyDescent="0.2">
      <c r="E312" s="10"/>
      <c r="F312" s="53"/>
      <c r="G312" s="9"/>
      <c r="J312" s="17"/>
      <c r="K312" s="17"/>
      <c r="N312" s="10"/>
    </row>
    <row r="313" spans="5:14" x14ac:dyDescent="0.2">
      <c r="E313" s="10"/>
      <c r="F313" s="53"/>
      <c r="G313" s="9"/>
      <c r="J313" s="17"/>
      <c r="K313" s="17"/>
      <c r="N313" s="10"/>
    </row>
    <row r="314" spans="5:14" x14ac:dyDescent="0.2">
      <c r="E314" s="10"/>
      <c r="F314" s="53"/>
      <c r="G314" s="9"/>
      <c r="J314" s="17"/>
      <c r="K314" s="17"/>
      <c r="N314" s="10"/>
    </row>
    <row r="315" spans="5:14" x14ac:dyDescent="0.2">
      <c r="E315" s="10"/>
      <c r="F315" s="53"/>
      <c r="G315" s="9"/>
      <c r="J315" s="17"/>
      <c r="K315" s="17"/>
      <c r="N315" s="10"/>
    </row>
    <row r="316" spans="5:14" x14ac:dyDescent="0.2">
      <c r="E316" s="10"/>
      <c r="F316" s="53"/>
      <c r="G316" s="9"/>
      <c r="J316" s="17"/>
      <c r="K316" s="17"/>
      <c r="N316" s="10"/>
    </row>
    <row r="317" spans="5:14" x14ac:dyDescent="0.2">
      <c r="E317" s="10"/>
      <c r="F317" s="53"/>
      <c r="G317" s="9"/>
      <c r="J317" s="17"/>
      <c r="K317" s="17"/>
      <c r="N317" s="10"/>
    </row>
    <row r="318" spans="5:14" x14ac:dyDescent="0.2">
      <c r="E318" s="10"/>
      <c r="F318" s="53"/>
      <c r="G318" s="9"/>
      <c r="J318" s="17"/>
      <c r="K318" s="17"/>
      <c r="N318" s="10"/>
    </row>
    <row r="319" spans="5:14" x14ac:dyDescent="0.2">
      <c r="E319" s="10"/>
      <c r="F319" s="53"/>
      <c r="G319" s="9"/>
      <c r="J319" s="17"/>
      <c r="K319" s="17"/>
      <c r="N319" s="10"/>
    </row>
    <row r="320" spans="5:14" x14ac:dyDescent="0.2">
      <c r="E320" s="10"/>
      <c r="F320" s="53"/>
      <c r="G320" s="9"/>
      <c r="J320" s="17"/>
      <c r="K320" s="17"/>
      <c r="N320" s="10"/>
    </row>
    <row r="321" spans="5:14" x14ac:dyDescent="0.2">
      <c r="E321" s="10"/>
      <c r="F321" s="53"/>
      <c r="G321" s="9"/>
      <c r="J321" s="17"/>
      <c r="K321" s="17"/>
      <c r="N321" s="10"/>
    </row>
    <row r="322" spans="5:14" x14ac:dyDescent="0.2">
      <c r="E322" s="10"/>
      <c r="F322" s="53"/>
      <c r="G322" s="9"/>
      <c r="J322" s="17"/>
      <c r="K322" s="17"/>
      <c r="N322" s="10"/>
    </row>
    <row r="323" spans="5:14" x14ac:dyDescent="0.2">
      <c r="E323" s="10"/>
      <c r="F323" s="53"/>
      <c r="G323" s="9"/>
      <c r="J323" s="17"/>
      <c r="K323" s="17"/>
      <c r="N323" s="10"/>
    </row>
    <row r="324" spans="5:14" x14ac:dyDescent="0.2">
      <c r="E324" s="10"/>
      <c r="F324" s="53"/>
      <c r="G324" s="9"/>
      <c r="J324" s="17"/>
      <c r="K324" s="17"/>
      <c r="N324" s="10"/>
    </row>
    <row r="325" spans="5:14" x14ac:dyDescent="0.2">
      <c r="E325" s="10"/>
      <c r="F325" s="53"/>
      <c r="G325" s="9"/>
      <c r="J325" s="17"/>
      <c r="K325" s="17"/>
      <c r="N325" s="10"/>
    </row>
    <row r="326" spans="5:14" x14ac:dyDescent="0.2">
      <c r="E326" s="10"/>
      <c r="F326" s="53"/>
      <c r="G326" s="9"/>
      <c r="J326" s="17"/>
      <c r="K326" s="17"/>
      <c r="N326" s="10"/>
    </row>
    <row r="327" spans="5:14" x14ac:dyDescent="0.2">
      <c r="E327" s="10"/>
      <c r="F327" s="53"/>
      <c r="G327" s="9"/>
      <c r="J327" s="17"/>
      <c r="K327" s="17"/>
      <c r="N327" s="10"/>
    </row>
    <row r="328" spans="5:14" x14ac:dyDescent="0.2">
      <c r="E328" s="10"/>
      <c r="F328" s="53"/>
      <c r="G328" s="9"/>
      <c r="J328" s="17"/>
      <c r="K328" s="17"/>
      <c r="N328" s="10"/>
    </row>
    <row r="329" spans="5:14" x14ac:dyDescent="0.2">
      <c r="E329" s="10"/>
      <c r="F329" s="53"/>
      <c r="G329" s="9"/>
      <c r="J329" s="17"/>
      <c r="K329" s="17"/>
      <c r="N329" s="10"/>
    </row>
    <row r="330" spans="5:14" x14ac:dyDescent="0.2">
      <c r="E330" s="10"/>
      <c r="F330" s="53"/>
      <c r="G330" s="9"/>
      <c r="J330" s="17"/>
      <c r="K330" s="17"/>
      <c r="N330" s="10"/>
    </row>
    <row r="331" spans="5:14" x14ac:dyDescent="0.2">
      <c r="E331" s="10"/>
      <c r="F331" s="53"/>
      <c r="G331" s="9"/>
      <c r="J331" s="17"/>
      <c r="K331" s="17"/>
      <c r="N331" s="10"/>
    </row>
    <row r="332" spans="5:14" x14ac:dyDescent="0.2">
      <c r="E332" s="10"/>
      <c r="F332" s="53"/>
      <c r="G332" s="9"/>
      <c r="J332" s="17"/>
      <c r="K332" s="17"/>
      <c r="N332" s="10"/>
    </row>
    <row r="333" spans="5:14" x14ac:dyDescent="0.2">
      <c r="E333" s="10"/>
      <c r="F333" s="53"/>
      <c r="G333" s="9"/>
      <c r="J333" s="17"/>
      <c r="K333" s="17"/>
      <c r="N333" s="10"/>
    </row>
    <row r="334" spans="5:14" x14ac:dyDescent="0.2">
      <c r="E334" s="10"/>
      <c r="F334" s="53"/>
      <c r="G334" s="9"/>
      <c r="J334" s="17"/>
      <c r="K334" s="17"/>
      <c r="N334" s="10"/>
    </row>
    <row r="335" spans="5:14" x14ac:dyDescent="0.2">
      <c r="E335" s="10"/>
      <c r="F335" s="53"/>
      <c r="G335" s="9"/>
      <c r="J335" s="17"/>
      <c r="K335" s="17"/>
      <c r="N335" s="10"/>
    </row>
    <row r="336" spans="5:14" x14ac:dyDescent="0.2">
      <c r="E336" s="10"/>
      <c r="F336" s="53"/>
      <c r="G336" s="9"/>
      <c r="J336" s="17"/>
      <c r="K336" s="17"/>
      <c r="N336" s="10"/>
    </row>
    <row r="337" spans="5:14" x14ac:dyDescent="0.2">
      <c r="E337" s="10"/>
      <c r="F337" s="53"/>
      <c r="G337" s="9"/>
      <c r="J337" s="17"/>
      <c r="K337" s="17"/>
      <c r="N337" s="10"/>
    </row>
    <row r="338" spans="5:14" x14ac:dyDescent="0.2">
      <c r="E338" s="10"/>
      <c r="F338" s="53"/>
      <c r="G338" s="9"/>
      <c r="J338" s="17"/>
      <c r="K338" s="17"/>
      <c r="N338" s="10"/>
    </row>
    <row r="339" spans="5:14" x14ac:dyDescent="0.2">
      <c r="E339" s="10"/>
      <c r="F339" s="53"/>
      <c r="G339" s="9"/>
      <c r="J339" s="17"/>
      <c r="K339" s="17"/>
      <c r="N339" s="10"/>
    </row>
    <row r="340" spans="5:14" x14ac:dyDescent="0.2">
      <c r="E340" s="10"/>
      <c r="F340" s="53"/>
      <c r="G340" s="9"/>
      <c r="J340" s="17"/>
      <c r="K340" s="17"/>
      <c r="N340" s="10"/>
    </row>
    <row r="341" spans="5:14" x14ac:dyDescent="0.2">
      <c r="E341" s="10"/>
      <c r="F341" s="53"/>
      <c r="G341" s="9"/>
      <c r="J341" s="17"/>
      <c r="K341" s="17"/>
      <c r="N341" s="10"/>
    </row>
    <row r="342" spans="5:14" x14ac:dyDescent="0.2">
      <c r="E342" s="10"/>
      <c r="F342" s="53"/>
      <c r="G342" s="9"/>
      <c r="J342" s="17"/>
      <c r="K342" s="17"/>
      <c r="N342" s="10"/>
    </row>
    <row r="343" spans="5:14" x14ac:dyDescent="0.2">
      <c r="E343" s="10"/>
      <c r="F343" s="53"/>
      <c r="G343" s="9"/>
      <c r="J343" s="17"/>
      <c r="K343" s="17"/>
      <c r="N343" s="10"/>
    </row>
    <row r="344" spans="5:14" x14ac:dyDescent="0.2">
      <c r="E344" s="10"/>
      <c r="F344" s="53"/>
      <c r="G344" s="9"/>
      <c r="J344" s="17"/>
      <c r="K344" s="17"/>
      <c r="N344" s="10"/>
    </row>
    <row r="345" spans="5:14" x14ac:dyDescent="0.2">
      <c r="E345" s="10"/>
      <c r="F345" s="53"/>
      <c r="G345" s="9"/>
      <c r="J345" s="17"/>
      <c r="K345" s="17"/>
      <c r="N345" s="10"/>
    </row>
    <row r="346" spans="5:14" x14ac:dyDescent="0.2">
      <c r="E346" s="10"/>
      <c r="F346" s="53"/>
      <c r="G346" s="9"/>
      <c r="J346" s="17"/>
      <c r="K346" s="17"/>
      <c r="N346" s="10"/>
    </row>
    <row r="347" spans="5:14" x14ac:dyDescent="0.2">
      <c r="E347" s="10"/>
      <c r="F347" s="53"/>
      <c r="G347" s="9"/>
      <c r="J347" s="17"/>
      <c r="K347" s="17"/>
      <c r="N347" s="10"/>
    </row>
    <row r="348" spans="5:14" x14ac:dyDescent="0.2">
      <c r="E348" s="10"/>
      <c r="F348" s="53"/>
      <c r="G348" s="9"/>
      <c r="J348" s="17"/>
      <c r="K348" s="17"/>
      <c r="N348" s="10"/>
    </row>
    <row r="349" spans="5:14" x14ac:dyDescent="0.2">
      <c r="E349" s="10"/>
      <c r="F349" s="53"/>
      <c r="G349" s="9"/>
      <c r="J349" s="17"/>
      <c r="K349" s="17"/>
      <c r="N349" s="10"/>
    </row>
    <row r="350" spans="5:14" x14ac:dyDescent="0.2">
      <c r="E350" s="10"/>
      <c r="F350" s="53"/>
      <c r="G350" s="9"/>
      <c r="J350" s="17"/>
      <c r="K350" s="17"/>
      <c r="N350" s="10"/>
    </row>
    <row r="351" spans="5:14" x14ac:dyDescent="0.2">
      <c r="E351" s="10"/>
      <c r="F351" s="53"/>
      <c r="G351" s="9"/>
      <c r="J351" s="17"/>
      <c r="K351" s="17"/>
      <c r="N351" s="10"/>
    </row>
    <row r="352" spans="5:14" x14ac:dyDescent="0.2">
      <c r="E352" s="10"/>
      <c r="F352" s="53"/>
      <c r="G352" s="9"/>
      <c r="J352" s="17"/>
      <c r="K352" s="17"/>
      <c r="N352" s="10"/>
    </row>
    <row r="353" spans="5:14" x14ac:dyDescent="0.2">
      <c r="E353" s="10"/>
      <c r="F353" s="53"/>
      <c r="G353" s="9"/>
      <c r="J353" s="17"/>
      <c r="K353" s="17"/>
      <c r="N353" s="10"/>
    </row>
    <row r="354" spans="5:14" x14ac:dyDescent="0.2">
      <c r="E354" s="10"/>
      <c r="F354" s="53"/>
      <c r="G354" s="9"/>
      <c r="J354" s="17"/>
      <c r="K354" s="17"/>
      <c r="N354" s="10"/>
    </row>
    <row r="355" spans="5:14" x14ac:dyDescent="0.2">
      <c r="E355" s="10"/>
      <c r="F355" s="53"/>
      <c r="G355" s="9"/>
      <c r="J355" s="17"/>
      <c r="K355" s="17"/>
      <c r="N355" s="10"/>
    </row>
    <row r="356" spans="5:14" x14ac:dyDescent="0.2">
      <c r="E356" s="10"/>
      <c r="F356" s="53"/>
      <c r="G356" s="9"/>
      <c r="J356" s="17"/>
      <c r="K356" s="17"/>
      <c r="N356" s="10"/>
    </row>
    <row r="357" spans="5:14" x14ac:dyDescent="0.2">
      <c r="E357" s="10"/>
      <c r="F357" s="53"/>
      <c r="G357" s="9"/>
      <c r="J357" s="17"/>
      <c r="K357" s="17"/>
      <c r="N357" s="10"/>
    </row>
    <row r="358" spans="5:14" x14ac:dyDescent="0.2">
      <c r="E358" s="10"/>
      <c r="F358" s="53"/>
      <c r="G358" s="9"/>
      <c r="J358" s="17"/>
      <c r="K358" s="17"/>
      <c r="N358" s="10"/>
    </row>
    <row r="359" spans="5:14" x14ac:dyDescent="0.2">
      <c r="E359" s="10"/>
      <c r="F359" s="53"/>
      <c r="G359" s="9"/>
      <c r="J359" s="17"/>
      <c r="K359" s="17"/>
      <c r="N359" s="10"/>
    </row>
    <row r="360" spans="5:14" x14ac:dyDescent="0.2">
      <c r="E360" s="10"/>
      <c r="F360" s="53"/>
      <c r="G360" s="9"/>
      <c r="J360" s="17"/>
      <c r="K360" s="17"/>
      <c r="N360" s="10"/>
    </row>
    <row r="361" spans="5:14" x14ac:dyDescent="0.2">
      <c r="E361" s="10"/>
      <c r="F361" s="53"/>
      <c r="G361" s="9"/>
      <c r="J361" s="17"/>
      <c r="K361" s="17"/>
      <c r="N361" s="10"/>
    </row>
    <row r="362" spans="5:14" x14ac:dyDescent="0.2">
      <c r="E362" s="10"/>
      <c r="F362" s="53"/>
      <c r="G362" s="9"/>
      <c r="J362" s="17"/>
      <c r="K362" s="17"/>
      <c r="N362" s="10"/>
    </row>
    <row r="363" spans="5:14" x14ac:dyDescent="0.2">
      <c r="E363" s="10"/>
      <c r="F363" s="53"/>
      <c r="G363" s="9"/>
      <c r="J363" s="17"/>
      <c r="K363" s="17"/>
      <c r="N363" s="10"/>
    </row>
    <row r="364" spans="5:14" x14ac:dyDescent="0.2">
      <c r="E364" s="10"/>
      <c r="F364" s="53"/>
      <c r="G364" s="9"/>
      <c r="J364" s="17"/>
      <c r="K364" s="17"/>
      <c r="N364" s="10"/>
    </row>
    <row r="365" spans="5:14" x14ac:dyDescent="0.2">
      <c r="E365" s="10"/>
      <c r="F365" s="53"/>
      <c r="G365" s="9"/>
      <c r="J365" s="17"/>
      <c r="K365" s="17"/>
      <c r="N365" s="10"/>
    </row>
    <row r="366" spans="5:14" x14ac:dyDescent="0.2">
      <c r="E366" s="10"/>
      <c r="F366" s="53"/>
      <c r="G366" s="9"/>
      <c r="J366" s="17"/>
      <c r="K366" s="17"/>
      <c r="N366" s="10"/>
    </row>
    <row r="367" spans="5:14" x14ac:dyDescent="0.2">
      <c r="E367" s="10"/>
      <c r="F367" s="53"/>
      <c r="G367" s="9"/>
      <c r="J367" s="17"/>
      <c r="K367" s="17"/>
      <c r="N367" s="10"/>
    </row>
    <row r="368" spans="5:14" x14ac:dyDescent="0.2">
      <c r="E368" s="10"/>
      <c r="F368" s="53"/>
      <c r="G368" s="9"/>
      <c r="J368" s="17"/>
      <c r="K368" s="17"/>
      <c r="N368" s="10"/>
    </row>
    <row r="369" spans="5:14" x14ac:dyDescent="0.2">
      <c r="E369" s="10"/>
      <c r="F369" s="53"/>
      <c r="G369" s="9"/>
      <c r="J369" s="17"/>
      <c r="K369" s="17"/>
      <c r="N369" s="10"/>
    </row>
    <row r="370" spans="5:14" x14ac:dyDescent="0.2">
      <c r="E370" s="10"/>
      <c r="F370" s="53"/>
      <c r="G370" s="9"/>
      <c r="J370" s="17"/>
      <c r="K370" s="17"/>
      <c r="N370" s="10"/>
    </row>
    <row r="371" spans="5:14" x14ac:dyDescent="0.2">
      <c r="E371" s="10"/>
      <c r="F371" s="53"/>
      <c r="G371" s="9"/>
      <c r="J371" s="17"/>
      <c r="K371" s="17"/>
      <c r="N371" s="10"/>
    </row>
    <row r="372" spans="5:14" x14ac:dyDescent="0.2">
      <c r="E372" s="10"/>
      <c r="F372" s="53"/>
      <c r="G372" s="9"/>
      <c r="J372" s="17"/>
      <c r="K372" s="17"/>
      <c r="N372" s="10"/>
    </row>
    <row r="373" spans="5:14" x14ac:dyDescent="0.2">
      <c r="E373" s="10"/>
      <c r="F373" s="53"/>
      <c r="G373" s="9"/>
      <c r="J373" s="17"/>
      <c r="K373" s="17"/>
      <c r="N373" s="10"/>
    </row>
    <row r="374" spans="5:14" x14ac:dyDescent="0.2">
      <c r="E374" s="10"/>
      <c r="F374" s="53"/>
      <c r="G374" s="9"/>
      <c r="J374" s="17"/>
      <c r="K374" s="17"/>
      <c r="N374" s="10"/>
    </row>
    <row r="375" spans="5:14" x14ac:dyDescent="0.2">
      <c r="E375" s="10"/>
      <c r="F375" s="53"/>
      <c r="G375" s="9"/>
      <c r="J375" s="17"/>
      <c r="K375" s="17"/>
      <c r="N375" s="10"/>
    </row>
    <row r="376" spans="5:14" x14ac:dyDescent="0.2">
      <c r="E376" s="10"/>
      <c r="F376" s="53"/>
      <c r="G376" s="9"/>
      <c r="J376" s="17"/>
      <c r="K376" s="17"/>
      <c r="N376" s="10"/>
    </row>
    <row r="377" spans="5:14" x14ac:dyDescent="0.2">
      <c r="E377" s="10"/>
      <c r="F377" s="53"/>
      <c r="G377" s="9"/>
      <c r="J377" s="17"/>
      <c r="K377" s="17"/>
      <c r="N377" s="10"/>
    </row>
    <row r="378" spans="5:14" x14ac:dyDescent="0.2">
      <c r="E378" s="10"/>
      <c r="F378" s="53"/>
      <c r="G378" s="9"/>
      <c r="J378" s="17"/>
      <c r="K378" s="17"/>
      <c r="N378" s="10"/>
    </row>
    <row r="379" spans="5:14" x14ac:dyDescent="0.2">
      <c r="E379" s="10"/>
      <c r="F379" s="53"/>
      <c r="G379" s="9"/>
      <c r="J379" s="17"/>
      <c r="K379" s="17"/>
      <c r="N379" s="10"/>
    </row>
    <row r="380" spans="5:14" x14ac:dyDescent="0.2">
      <c r="E380" s="10"/>
      <c r="F380" s="53"/>
      <c r="G380" s="9"/>
      <c r="J380" s="17"/>
      <c r="K380" s="17"/>
      <c r="N380" s="10"/>
    </row>
    <row r="381" spans="5:14" x14ac:dyDescent="0.2">
      <c r="E381" s="10"/>
      <c r="F381" s="53"/>
      <c r="G381" s="9"/>
      <c r="J381" s="17"/>
      <c r="K381" s="17"/>
      <c r="N381" s="10"/>
    </row>
    <row r="382" spans="5:14" x14ac:dyDescent="0.2">
      <c r="E382" s="10"/>
      <c r="F382" s="53"/>
      <c r="G382" s="9"/>
      <c r="J382" s="17"/>
      <c r="K382" s="17"/>
      <c r="N382" s="10"/>
    </row>
    <row r="383" spans="5:14" x14ac:dyDescent="0.2">
      <c r="E383" s="10"/>
      <c r="F383" s="53"/>
      <c r="G383" s="9"/>
      <c r="J383" s="17"/>
      <c r="K383" s="17"/>
      <c r="N383" s="10"/>
    </row>
    <row r="384" spans="5:14" x14ac:dyDescent="0.2">
      <c r="E384" s="10"/>
      <c r="F384" s="53"/>
      <c r="G384" s="9"/>
      <c r="J384" s="17"/>
      <c r="K384" s="17"/>
      <c r="N384" s="10"/>
    </row>
    <row r="385" spans="5:14" x14ac:dyDescent="0.2">
      <c r="E385" s="10"/>
      <c r="F385" s="53"/>
      <c r="G385" s="9"/>
      <c r="J385" s="17"/>
      <c r="K385" s="17"/>
      <c r="N385" s="10"/>
    </row>
    <row r="386" spans="5:14" x14ac:dyDescent="0.2">
      <c r="E386" s="10"/>
      <c r="F386" s="53"/>
      <c r="G386" s="9"/>
      <c r="J386" s="17"/>
      <c r="K386" s="17"/>
      <c r="N386" s="10"/>
    </row>
    <row r="387" spans="5:14" x14ac:dyDescent="0.2">
      <c r="E387" s="10"/>
      <c r="F387" s="53"/>
      <c r="G387" s="9"/>
      <c r="J387" s="17"/>
      <c r="K387" s="17"/>
      <c r="N387" s="10"/>
    </row>
    <row r="388" spans="5:14" x14ac:dyDescent="0.2">
      <c r="E388" s="10"/>
      <c r="F388" s="53"/>
      <c r="G388" s="9"/>
      <c r="J388" s="17"/>
      <c r="K388" s="17"/>
      <c r="N388" s="10"/>
    </row>
    <row r="389" spans="5:14" x14ac:dyDescent="0.2">
      <c r="E389" s="10"/>
      <c r="F389" s="53"/>
      <c r="G389" s="9"/>
      <c r="J389" s="17"/>
      <c r="K389" s="17"/>
      <c r="N389" s="10"/>
    </row>
    <row r="390" spans="5:14" x14ac:dyDescent="0.2">
      <c r="E390" s="10"/>
      <c r="F390" s="53"/>
      <c r="G390" s="9"/>
      <c r="J390" s="17"/>
      <c r="K390" s="17"/>
      <c r="N390" s="10"/>
    </row>
    <row r="391" spans="5:14" x14ac:dyDescent="0.2">
      <c r="E391" s="10"/>
      <c r="F391" s="53"/>
      <c r="G391" s="9"/>
      <c r="J391" s="17"/>
      <c r="K391" s="17"/>
      <c r="N391" s="10"/>
    </row>
    <row r="392" spans="5:14" x14ac:dyDescent="0.2">
      <c r="E392" s="10"/>
      <c r="F392" s="53"/>
      <c r="G392" s="9"/>
      <c r="J392" s="17"/>
      <c r="K392" s="17"/>
      <c r="N392" s="10"/>
    </row>
    <row r="393" spans="5:14" x14ac:dyDescent="0.2">
      <c r="E393" s="10"/>
      <c r="F393" s="53"/>
      <c r="G393" s="9"/>
      <c r="J393" s="17"/>
      <c r="K393" s="17"/>
      <c r="N393" s="10"/>
    </row>
    <row r="394" spans="5:14" x14ac:dyDescent="0.2">
      <c r="E394" s="10"/>
      <c r="F394" s="53"/>
      <c r="G394" s="9"/>
      <c r="J394" s="17"/>
      <c r="K394" s="17"/>
      <c r="N394" s="10"/>
    </row>
    <row r="395" spans="5:14" x14ac:dyDescent="0.2">
      <c r="E395" s="10"/>
      <c r="F395" s="53"/>
      <c r="G395" s="9"/>
      <c r="J395" s="17"/>
      <c r="K395" s="17"/>
      <c r="N395" s="10"/>
    </row>
    <row r="396" spans="5:14" x14ac:dyDescent="0.2">
      <c r="E396" s="10"/>
      <c r="F396" s="53"/>
      <c r="G396" s="9"/>
      <c r="J396" s="17"/>
      <c r="K396" s="17"/>
      <c r="N396" s="10"/>
    </row>
    <row r="397" spans="5:14" x14ac:dyDescent="0.2">
      <c r="E397" s="10"/>
      <c r="F397" s="53"/>
      <c r="G397" s="9"/>
      <c r="J397" s="17"/>
      <c r="K397" s="17"/>
      <c r="N397" s="10"/>
    </row>
    <row r="398" spans="5:14" x14ac:dyDescent="0.2">
      <c r="E398" s="10"/>
      <c r="F398" s="53"/>
      <c r="G398" s="9"/>
      <c r="J398" s="17"/>
      <c r="K398" s="17"/>
      <c r="N398" s="10"/>
    </row>
    <row r="399" spans="5:14" x14ac:dyDescent="0.2">
      <c r="E399" s="10"/>
      <c r="F399" s="53"/>
      <c r="G399" s="9"/>
      <c r="J399" s="17"/>
      <c r="K399" s="17"/>
      <c r="N399" s="10"/>
    </row>
    <row r="400" spans="5:14" x14ac:dyDescent="0.2">
      <c r="E400" s="10"/>
      <c r="F400" s="53"/>
      <c r="G400" s="9"/>
      <c r="J400" s="17"/>
      <c r="K400" s="17"/>
      <c r="N400" s="10"/>
    </row>
    <row r="401" spans="5:14" x14ac:dyDescent="0.2">
      <c r="E401" s="10"/>
      <c r="F401" s="53"/>
      <c r="G401" s="9"/>
      <c r="J401" s="17"/>
      <c r="K401" s="17"/>
      <c r="N401" s="10"/>
    </row>
    <row r="402" spans="5:14" x14ac:dyDescent="0.2">
      <c r="E402" s="10"/>
      <c r="F402" s="53"/>
      <c r="G402" s="9"/>
      <c r="J402" s="17"/>
      <c r="K402" s="17"/>
      <c r="N402" s="10"/>
    </row>
    <row r="403" spans="5:14" x14ac:dyDescent="0.2">
      <c r="E403" s="10"/>
      <c r="F403" s="53"/>
      <c r="G403" s="9"/>
      <c r="J403" s="17"/>
      <c r="K403" s="17"/>
      <c r="N403" s="10"/>
    </row>
    <row r="404" spans="5:14" x14ac:dyDescent="0.2">
      <c r="E404" s="10"/>
      <c r="F404" s="53"/>
      <c r="G404" s="9"/>
      <c r="J404" s="17"/>
      <c r="K404" s="17"/>
      <c r="N404" s="10"/>
    </row>
    <row r="405" spans="5:14" x14ac:dyDescent="0.2">
      <c r="E405" s="10"/>
      <c r="F405" s="53"/>
      <c r="G405" s="9"/>
      <c r="J405" s="17"/>
      <c r="K405" s="17"/>
      <c r="N405" s="10"/>
    </row>
    <row r="406" spans="5:14" x14ac:dyDescent="0.2">
      <c r="E406" s="10"/>
      <c r="F406" s="53"/>
      <c r="G406" s="9"/>
      <c r="J406" s="17"/>
      <c r="K406" s="17"/>
      <c r="N406" s="10"/>
    </row>
    <row r="407" spans="5:14" x14ac:dyDescent="0.2">
      <c r="E407" s="10"/>
      <c r="F407" s="53"/>
      <c r="G407" s="9"/>
      <c r="J407" s="17"/>
      <c r="K407" s="17"/>
      <c r="N407" s="10"/>
    </row>
    <row r="408" spans="5:14" x14ac:dyDescent="0.2">
      <c r="E408" s="10"/>
      <c r="F408" s="53"/>
      <c r="G408" s="9"/>
      <c r="J408" s="17"/>
      <c r="K408" s="17"/>
      <c r="N408" s="10"/>
    </row>
    <row r="409" spans="5:14" x14ac:dyDescent="0.2">
      <c r="E409" s="10"/>
      <c r="F409" s="53"/>
      <c r="G409" s="9"/>
      <c r="J409" s="17"/>
      <c r="K409" s="17"/>
      <c r="N409" s="10"/>
    </row>
    <row r="410" spans="5:14" x14ac:dyDescent="0.2">
      <c r="E410" s="10"/>
      <c r="F410" s="53"/>
      <c r="G410" s="9"/>
      <c r="J410" s="17"/>
      <c r="K410" s="17"/>
      <c r="N410" s="10"/>
    </row>
    <row r="411" spans="5:14" x14ac:dyDescent="0.2">
      <c r="E411" s="10"/>
      <c r="F411" s="53"/>
      <c r="G411" s="9"/>
      <c r="J411" s="17"/>
      <c r="K411" s="17"/>
      <c r="N411" s="10"/>
    </row>
    <row r="412" spans="5:14" x14ac:dyDescent="0.2">
      <c r="E412" s="10"/>
      <c r="F412" s="53"/>
      <c r="G412" s="9"/>
      <c r="J412" s="17"/>
      <c r="K412" s="17"/>
      <c r="N412" s="10"/>
    </row>
    <row r="413" spans="5:14" x14ac:dyDescent="0.2">
      <c r="E413" s="10"/>
      <c r="F413" s="53"/>
      <c r="G413" s="9"/>
      <c r="J413" s="17"/>
      <c r="K413" s="17"/>
      <c r="N413" s="10"/>
    </row>
    <row r="414" spans="5:14" x14ac:dyDescent="0.2">
      <c r="E414" s="10"/>
      <c r="F414" s="53"/>
      <c r="G414" s="9"/>
      <c r="J414" s="17"/>
      <c r="K414" s="17"/>
      <c r="N414" s="10"/>
    </row>
    <row r="415" spans="5:14" x14ac:dyDescent="0.2">
      <c r="E415" s="10"/>
      <c r="F415" s="53"/>
      <c r="G415" s="9"/>
      <c r="J415" s="17"/>
      <c r="K415" s="17"/>
      <c r="N415" s="10"/>
    </row>
    <row r="416" spans="5:14" x14ac:dyDescent="0.2">
      <c r="E416" s="10"/>
      <c r="F416" s="53"/>
      <c r="G416" s="9"/>
      <c r="J416" s="17"/>
      <c r="K416" s="17"/>
      <c r="N416" s="10"/>
    </row>
    <row r="417" spans="5:14" x14ac:dyDescent="0.2">
      <c r="E417" s="10"/>
      <c r="F417" s="53"/>
      <c r="G417" s="9"/>
      <c r="J417" s="17"/>
      <c r="K417" s="17"/>
      <c r="N417" s="10"/>
    </row>
    <row r="418" spans="5:14" x14ac:dyDescent="0.2">
      <c r="E418" s="10"/>
      <c r="F418" s="53"/>
      <c r="G418" s="9"/>
      <c r="J418" s="17"/>
      <c r="K418" s="17"/>
      <c r="N418" s="10"/>
    </row>
    <row r="419" spans="5:14" x14ac:dyDescent="0.2">
      <c r="E419" s="10"/>
      <c r="F419" s="53"/>
      <c r="G419" s="9"/>
      <c r="J419" s="17"/>
      <c r="K419" s="17"/>
      <c r="N419" s="10"/>
    </row>
    <row r="420" spans="5:14" x14ac:dyDescent="0.2">
      <c r="E420" s="10"/>
      <c r="F420" s="53"/>
      <c r="G420" s="9"/>
      <c r="J420" s="17"/>
      <c r="K420" s="17"/>
      <c r="N420" s="10"/>
    </row>
    <row r="421" spans="5:14" x14ac:dyDescent="0.2">
      <c r="E421" s="10"/>
      <c r="F421" s="53"/>
      <c r="G421" s="9"/>
      <c r="J421" s="17"/>
      <c r="K421" s="17"/>
      <c r="N421" s="10"/>
    </row>
    <row r="422" spans="5:14" x14ac:dyDescent="0.2">
      <c r="E422" s="10"/>
      <c r="F422" s="53"/>
      <c r="G422" s="9"/>
      <c r="J422" s="17"/>
      <c r="K422" s="17"/>
      <c r="N422" s="10"/>
    </row>
    <row r="423" spans="5:14" x14ac:dyDescent="0.2">
      <c r="E423" s="10"/>
      <c r="F423" s="53"/>
      <c r="G423" s="9"/>
      <c r="J423" s="17"/>
      <c r="K423" s="17"/>
      <c r="N423" s="10"/>
    </row>
    <row r="424" spans="5:14" x14ac:dyDescent="0.2">
      <c r="E424" s="10"/>
      <c r="F424" s="53"/>
      <c r="G424" s="9"/>
      <c r="J424" s="17"/>
      <c r="K424" s="17"/>
      <c r="N424" s="10"/>
    </row>
    <row r="425" spans="5:14" x14ac:dyDescent="0.2">
      <c r="E425" s="10"/>
      <c r="F425" s="53"/>
      <c r="G425" s="9"/>
      <c r="J425" s="17"/>
      <c r="K425" s="17"/>
      <c r="N425" s="10"/>
    </row>
    <row r="426" spans="5:14" x14ac:dyDescent="0.2">
      <c r="E426" s="10"/>
      <c r="F426" s="53"/>
      <c r="G426" s="9"/>
      <c r="J426" s="17"/>
      <c r="K426" s="17"/>
      <c r="N426" s="10"/>
    </row>
    <row r="427" spans="5:14" x14ac:dyDescent="0.2">
      <c r="E427" s="10"/>
      <c r="F427" s="53"/>
      <c r="G427" s="9"/>
      <c r="J427" s="17"/>
      <c r="K427" s="17"/>
      <c r="N427" s="10"/>
    </row>
    <row r="428" spans="5:14" x14ac:dyDescent="0.2">
      <c r="E428" s="10"/>
      <c r="F428" s="53"/>
      <c r="G428" s="9"/>
      <c r="J428" s="17"/>
      <c r="K428" s="17"/>
      <c r="N428" s="10"/>
    </row>
    <row r="429" spans="5:14" x14ac:dyDescent="0.2">
      <c r="E429" s="10"/>
      <c r="F429" s="53"/>
      <c r="G429" s="9"/>
      <c r="J429" s="17"/>
      <c r="K429" s="17"/>
      <c r="N429" s="10"/>
    </row>
    <row r="430" spans="5:14" x14ac:dyDescent="0.2">
      <c r="E430" s="10"/>
      <c r="F430" s="53"/>
      <c r="G430" s="9"/>
      <c r="J430" s="17"/>
      <c r="K430" s="17"/>
      <c r="N430" s="10"/>
    </row>
    <row r="431" spans="5:14" x14ac:dyDescent="0.2">
      <c r="E431" s="10"/>
      <c r="F431" s="53"/>
      <c r="G431" s="9"/>
      <c r="J431" s="17"/>
      <c r="K431" s="17"/>
      <c r="N431" s="10"/>
    </row>
    <row r="432" spans="5:14" x14ac:dyDescent="0.2">
      <c r="E432" s="10"/>
      <c r="F432" s="53"/>
      <c r="G432" s="9"/>
      <c r="J432" s="17"/>
      <c r="K432" s="17"/>
      <c r="N432" s="10"/>
    </row>
    <row r="433" spans="5:14" x14ac:dyDescent="0.2">
      <c r="E433" s="10"/>
      <c r="F433" s="53"/>
      <c r="G433" s="9"/>
      <c r="J433" s="17"/>
      <c r="K433" s="17"/>
      <c r="N433" s="10"/>
    </row>
    <row r="434" spans="5:14" x14ac:dyDescent="0.2">
      <c r="E434" s="10"/>
      <c r="F434" s="53"/>
      <c r="G434" s="9"/>
      <c r="J434" s="17"/>
      <c r="K434" s="17"/>
      <c r="N434" s="10"/>
    </row>
    <row r="435" spans="5:14" x14ac:dyDescent="0.2">
      <c r="E435" s="10"/>
      <c r="F435" s="53"/>
      <c r="G435" s="9"/>
      <c r="J435" s="17"/>
      <c r="K435" s="17"/>
      <c r="N435" s="10"/>
    </row>
    <row r="436" spans="5:14" x14ac:dyDescent="0.2">
      <c r="E436" s="10"/>
      <c r="F436" s="53"/>
      <c r="G436" s="9"/>
      <c r="J436" s="17"/>
      <c r="K436" s="17"/>
      <c r="N436" s="10"/>
    </row>
    <row r="437" spans="5:14" x14ac:dyDescent="0.2">
      <c r="E437" s="10"/>
      <c r="F437" s="53"/>
      <c r="G437" s="9"/>
      <c r="J437" s="17"/>
      <c r="K437" s="17"/>
      <c r="N437" s="10"/>
    </row>
    <row r="438" spans="5:14" x14ac:dyDescent="0.2">
      <c r="E438" s="10"/>
      <c r="F438" s="53"/>
      <c r="G438" s="9"/>
      <c r="J438" s="17"/>
      <c r="K438" s="17"/>
      <c r="N438" s="10"/>
    </row>
    <row r="439" spans="5:14" x14ac:dyDescent="0.2">
      <c r="E439" s="10"/>
      <c r="F439" s="53"/>
      <c r="G439" s="9"/>
      <c r="J439" s="17"/>
      <c r="K439" s="17"/>
      <c r="N439" s="10"/>
    </row>
    <row r="440" spans="5:14" x14ac:dyDescent="0.2">
      <c r="E440" s="10"/>
      <c r="F440" s="53"/>
      <c r="G440" s="9"/>
      <c r="J440" s="17"/>
      <c r="K440" s="17"/>
      <c r="N440" s="10"/>
    </row>
    <row r="441" spans="5:14" x14ac:dyDescent="0.2">
      <c r="E441" s="10"/>
      <c r="F441" s="53"/>
      <c r="G441" s="9"/>
      <c r="J441" s="17"/>
      <c r="K441" s="17"/>
      <c r="N441" s="10"/>
    </row>
    <row r="442" spans="5:14" x14ac:dyDescent="0.2">
      <c r="E442" s="10"/>
      <c r="F442" s="53"/>
      <c r="G442" s="9"/>
      <c r="J442" s="17"/>
      <c r="K442" s="17"/>
      <c r="N442" s="10"/>
    </row>
    <row r="443" spans="5:14" x14ac:dyDescent="0.2">
      <c r="E443" s="10"/>
      <c r="F443" s="53"/>
      <c r="G443" s="9"/>
      <c r="J443" s="17"/>
      <c r="K443" s="17"/>
      <c r="N443" s="10"/>
    </row>
    <row r="444" spans="5:14" x14ac:dyDescent="0.2">
      <c r="E444" s="10"/>
      <c r="F444" s="53"/>
      <c r="G444" s="9"/>
      <c r="J444" s="17"/>
      <c r="K444" s="17"/>
      <c r="N444" s="10"/>
    </row>
    <row r="445" spans="5:14" x14ac:dyDescent="0.2">
      <c r="E445" s="10"/>
      <c r="F445" s="53"/>
      <c r="G445" s="9"/>
      <c r="J445" s="17"/>
      <c r="K445" s="17"/>
      <c r="N445" s="10"/>
    </row>
    <row r="446" spans="5:14" x14ac:dyDescent="0.2">
      <c r="E446" s="10"/>
      <c r="F446" s="53"/>
      <c r="G446" s="9"/>
      <c r="J446" s="17"/>
      <c r="K446" s="17"/>
      <c r="N446" s="10"/>
    </row>
    <row r="447" spans="5:14" x14ac:dyDescent="0.2">
      <c r="E447" s="10"/>
      <c r="F447" s="53"/>
      <c r="G447" s="9"/>
      <c r="J447" s="17"/>
      <c r="K447" s="17"/>
      <c r="N447" s="10"/>
    </row>
    <row r="448" spans="5:14" x14ac:dyDescent="0.2">
      <c r="E448" s="10"/>
      <c r="F448" s="53"/>
      <c r="G448" s="9"/>
      <c r="J448" s="17"/>
      <c r="K448" s="17"/>
      <c r="N448" s="10"/>
    </row>
    <row r="449" spans="5:14" x14ac:dyDescent="0.2">
      <c r="E449" s="10"/>
      <c r="F449" s="53"/>
      <c r="G449" s="9"/>
      <c r="J449" s="17"/>
      <c r="K449" s="17"/>
      <c r="N449" s="10"/>
    </row>
    <row r="450" spans="5:14" x14ac:dyDescent="0.2">
      <c r="E450" s="10"/>
      <c r="F450" s="53"/>
      <c r="G450" s="9"/>
      <c r="J450" s="17"/>
      <c r="K450" s="17"/>
      <c r="N450" s="10"/>
    </row>
    <row r="451" spans="5:14" x14ac:dyDescent="0.2">
      <c r="E451" s="10"/>
      <c r="F451" s="53"/>
      <c r="G451" s="9"/>
      <c r="J451" s="17"/>
      <c r="K451" s="17"/>
      <c r="N451" s="10"/>
    </row>
    <row r="452" spans="5:14" x14ac:dyDescent="0.2">
      <c r="E452" s="10"/>
      <c r="F452" s="53"/>
      <c r="G452" s="9"/>
      <c r="J452" s="17"/>
      <c r="K452" s="17"/>
      <c r="N452" s="10"/>
    </row>
    <row r="453" spans="5:14" x14ac:dyDescent="0.2">
      <c r="E453" s="10"/>
      <c r="F453" s="53"/>
      <c r="G453" s="9"/>
      <c r="J453" s="17"/>
      <c r="K453" s="17"/>
      <c r="N453" s="10"/>
    </row>
    <row r="454" spans="5:14" x14ac:dyDescent="0.2">
      <c r="E454" s="10"/>
      <c r="F454" s="53"/>
      <c r="G454" s="9"/>
      <c r="J454" s="17"/>
      <c r="K454" s="17"/>
      <c r="N454" s="10"/>
    </row>
    <row r="455" spans="5:14" x14ac:dyDescent="0.2">
      <c r="E455" s="10"/>
      <c r="F455" s="53"/>
      <c r="G455" s="9"/>
      <c r="J455" s="17"/>
      <c r="K455" s="17"/>
      <c r="N455" s="10"/>
    </row>
    <row r="456" spans="5:14" x14ac:dyDescent="0.2">
      <c r="E456" s="10"/>
      <c r="F456" s="53"/>
      <c r="G456" s="9"/>
      <c r="J456" s="17"/>
      <c r="K456" s="17"/>
      <c r="N456" s="10"/>
    </row>
    <row r="457" spans="5:14" x14ac:dyDescent="0.2">
      <c r="E457" s="10"/>
      <c r="F457" s="53"/>
      <c r="G457" s="9"/>
      <c r="J457" s="17"/>
      <c r="K457" s="17"/>
      <c r="N457" s="10"/>
    </row>
    <row r="458" spans="5:14" x14ac:dyDescent="0.2">
      <c r="E458" s="10"/>
      <c r="F458" s="53"/>
      <c r="G458" s="9"/>
      <c r="J458" s="17"/>
      <c r="K458" s="17"/>
      <c r="N458" s="10"/>
    </row>
    <row r="459" spans="5:14" x14ac:dyDescent="0.2">
      <c r="E459" s="10"/>
      <c r="F459" s="53"/>
      <c r="G459" s="9"/>
      <c r="J459" s="17"/>
      <c r="K459" s="17"/>
      <c r="N459" s="10"/>
    </row>
    <row r="460" spans="5:14" x14ac:dyDescent="0.2">
      <c r="E460" s="10"/>
      <c r="F460" s="53"/>
      <c r="G460" s="9"/>
      <c r="J460" s="17"/>
      <c r="K460" s="17"/>
      <c r="N460" s="10"/>
    </row>
    <row r="461" spans="5:14" x14ac:dyDescent="0.2">
      <c r="E461" s="10"/>
      <c r="F461" s="53"/>
      <c r="G461" s="9"/>
      <c r="J461" s="17"/>
      <c r="K461" s="17"/>
      <c r="N461" s="10"/>
    </row>
    <row r="462" spans="5:14" x14ac:dyDescent="0.2">
      <c r="E462" s="10"/>
      <c r="F462" s="53"/>
      <c r="G462" s="9"/>
      <c r="J462" s="17"/>
      <c r="K462" s="17"/>
      <c r="N462" s="10"/>
    </row>
    <row r="463" spans="5:14" x14ac:dyDescent="0.2">
      <c r="E463" s="10"/>
      <c r="F463" s="53"/>
      <c r="G463" s="9"/>
      <c r="J463" s="17"/>
      <c r="K463" s="17"/>
      <c r="N463" s="10"/>
    </row>
    <row r="464" spans="5:14" x14ac:dyDescent="0.2">
      <c r="E464" s="10"/>
      <c r="F464" s="53"/>
      <c r="G464" s="9"/>
      <c r="J464" s="17"/>
      <c r="K464" s="17"/>
      <c r="N464" s="10"/>
    </row>
    <row r="465" spans="5:14" x14ac:dyDescent="0.2">
      <c r="E465" s="10"/>
      <c r="F465" s="53"/>
      <c r="G465" s="9"/>
      <c r="J465" s="17"/>
      <c r="K465" s="17"/>
      <c r="N465" s="10"/>
    </row>
    <row r="466" spans="5:14" x14ac:dyDescent="0.2">
      <c r="E466" s="10"/>
      <c r="F466" s="53"/>
      <c r="G466" s="9"/>
      <c r="J466" s="17"/>
      <c r="K466" s="17"/>
      <c r="N466" s="10"/>
    </row>
    <row r="467" spans="5:14" x14ac:dyDescent="0.2">
      <c r="E467" s="10"/>
      <c r="F467" s="53"/>
      <c r="G467" s="9"/>
      <c r="J467" s="17"/>
      <c r="K467" s="17"/>
      <c r="N467" s="10"/>
    </row>
    <row r="468" spans="5:14" x14ac:dyDescent="0.2">
      <c r="E468" s="10"/>
      <c r="F468" s="53"/>
      <c r="G468" s="9"/>
      <c r="J468" s="17"/>
      <c r="K468" s="17"/>
      <c r="N468" s="10"/>
    </row>
    <row r="469" spans="5:14" x14ac:dyDescent="0.2">
      <c r="E469" s="10"/>
      <c r="F469" s="53"/>
      <c r="G469" s="9"/>
      <c r="J469" s="17"/>
      <c r="K469" s="17"/>
      <c r="N469" s="10"/>
    </row>
    <row r="470" spans="5:14" x14ac:dyDescent="0.2">
      <c r="E470" s="10"/>
      <c r="F470" s="53"/>
      <c r="G470" s="9"/>
      <c r="J470" s="17"/>
      <c r="K470" s="17"/>
      <c r="N470" s="10"/>
    </row>
    <row r="471" spans="5:14" x14ac:dyDescent="0.2">
      <c r="E471" s="10"/>
      <c r="F471" s="53"/>
      <c r="G471" s="9"/>
      <c r="J471" s="17"/>
      <c r="K471" s="17"/>
      <c r="N471" s="10"/>
    </row>
    <row r="472" spans="5:14" x14ac:dyDescent="0.2">
      <c r="E472" s="10"/>
      <c r="F472" s="53"/>
      <c r="G472" s="9"/>
      <c r="J472" s="17"/>
      <c r="K472" s="17"/>
      <c r="N472" s="10"/>
    </row>
    <row r="473" spans="5:14" x14ac:dyDescent="0.2">
      <c r="E473" s="10"/>
      <c r="F473" s="53"/>
      <c r="G473" s="9"/>
      <c r="J473" s="17"/>
      <c r="K473" s="17"/>
      <c r="N473" s="10"/>
    </row>
    <row r="474" spans="5:14" x14ac:dyDescent="0.2">
      <c r="E474" s="10"/>
      <c r="F474" s="53"/>
      <c r="G474" s="9"/>
      <c r="J474" s="17"/>
      <c r="K474" s="17"/>
      <c r="N474" s="10"/>
    </row>
    <row r="475" spans="5:14" x14ac:dyDescent="0.2">
      <c r="E475" s="10"/>
      <c r="F475" s="53"/>
      <c r="G475" s="9"/>
      <c r="J475" s="17"/>
      <c r="K475" s="17"/>
      <c r="N475" s="10"/>
    </row>
    <row r="476" spans="5:14" x14ac:dyDescent="0.2">
      <c r="E476" s="10"/>
      <c r="F476" s="53"/>
      <c r="G476" s="9"/>
      <c r="J476" s="17"/>
      <c r="K476" s="17"/>
      <c r="N476" s="10"/>
    </row>
    <row r="477" spans="5:14" x14ac:dyDescent="0.2">
      <c r="E477" s="10"/>
      <c r="F477" s="53"/>
      <c r="G477" s="9"/>
      <c r="J477" s="17"/>
      <c r="K477" s="17"/>
      <c r="N477" s="10"/>
    </row>
    <row r="478" spans="5:14" x14ac:dyDescent="0.2">
      <c r="E478" s="10"/>
      <c r="F478" s="53"/>
      <c r="G478" s="9"/>
      <c r="J478" s="17"/>
      <c r="K478" s="17"/>
      <c r="N478" s="10"/>
    </row>
    <row r="479" spans="5:14" x14ac:dyDescent="0.2">
      <c r="E479" s="10"/>
      <c r="F479" s="53"/>
      <c r="G479" s="9"/>
      <c r="J479" s="17"/>
      <c r="K479" s="17"/>
      <c r="N479" s="10"/>
    </row>
    <row r="480" spans="5:14" x14ac:dyDescent="0.2">
      <c r="E480" s="10"/>
      <c r="F480" s="53"/>
      <c r="G480" s="9"/>
      <c r="J480" s="17"/>
      <c r="K480" s="17"/>
      <c r="N480" s="10"/>
    </row>
    <row r="481" spans="5:14" x14ac:dyDescent="0.2">
      <c r="E481" s="10"/>
      <c r="F481" s="53"/>
      <c r="G481" s="9"/>
      <c r="J481" s="17"/>
      <c r="K481" s="17"/>
      <c r="N481" s="10"/>
    </row>
    <row r="482" spans="5:14" x14ac:dyDescent="0.2">
      <c r="E482" s="10"/>
      <c r="F482" s="53"/>
      <c r="G482" s="9"/>
      <c r="J482" s="17"/>
      <c r="K482" s="17"/>
      <c r="N482" s="10"/>
    </row>
    <row r="483" spans="5:14" x14ac:dyDescent="0.2">
      <c r="E483" s="10"/>
      <c r="F483" s="53"/>
      <c r="G483" s="9"/>
      <c r="J483" s="17"/>
      <c r="K483" s="17"/>
      <c r="N483" s="10"/>
    </row>
    <row r="484" spans="5:14" x14ac:dyDescent="0.2">
      <c r="E484" s="10"/>
      <c r="F484" s="53"/>
      <c r="G484" s="9"/>
      <c r="J484" s="17"/>
      <c r="K484" s="17"/>
      <c r="N484" s="10"/>
    </row>
    <row r="485" spans="5:14" x14ac:dyDescent="0.2">
      <c r="E485" s="10"/>
      <c r="F485" s="53"/>
      <c r="G485" s="9"/>
      <c r="J485" s="17"/>
      <c r="K485" s="17"/>
      <c r="N485" s="10"/>
    </row>
    <row r="486" spans="5:14" x14ac:dyDescent="0.2">
      <c r="E486" s="10"/>
      <c r="F486" s="53"/>
      <c r="G486" s="9"/>
      <c r="J486" s="17"/>
      <c r="K486" s="17"/>
      <c r="N486" s="10"/>
    </row>
    <row r="487" spans="5:14" x14ac:dyDescent="0.2">
      <c r="E487" s="10"/>
      <c r="F487" s="53"/>
      <c r="G487" s="9"/>
      <c r="J487" s="17"/>
      <c r="K487" s="17"/>
      <c r="N487" s="10"/>
    </row>
    <row r="488" spans="5:14" x14ac:dyDescent="0.2">
      <c r="E488" s="10"/>
      <c r="F488" s="53"/>
      <c r="G488" s="9"/>
      <c r="J488" s="17"/>
      <c r="K488" s="17"/>
      <c r="N488" s="10"/>
    </row>
    <row r="489" spans="5:14" x14ac:dyDescent="0.2">
      <c r="E489" s="10"/>
      <c r="F489" s="53"/>
      <c r="G489" s="9"/>
      <c r="J489" s="17"/>
      <c r="K489" s="17"/>
      <c r="N489" s="10"/>
    </row>
    <row r="490" spans="5:14" x14ac:dyDescent="0.2">
      <c r="E490" s="10"/>
      <c r="F490" s="53"/>
      <c r="G490" s="9"/>
      <c r="J490" s="17"/>
      <c r="K490" s="17"/>
      <c r="N490" s="10"/>
    </row>
    <row r="491" spans="5:14" x14ac:dyDescent="0.2">
      <c r="E491" s="10"/>
      <c r="F491" s="53"/>
      <c r="G491" s="9"/>
      <c r="J491" s="17"/>
      <c r="K491" s="17"/>
      <c r="N491" s="10"/>
    </row>
    <row r="492" spans="5:14" x14ac:dyDescent="0.2">
      <c r="E492" s="10"/>
      <c r="F492" s="53"/>
      <c r="G492" s="9"/>
      <c r="J492" s="17"/>
      <c r="K492" s="17"/>
      <c r="N492" s="10"/>
    </row>
    <row r="493" spans="5:14" x14ac:dyDescent="0.2">
      <c r="E493" s="10"/>
      <c r="F493" s="53"/>
      <c r="G493" s="9"/>
      <c r="J493" s="17"/>
      <c r="K493" s="17"/>
      <c r="N493" s="10"/>
    </row>
    <row r="494" spans="5:14" x14ac:dyDescent="0.2">
      <c r="E494" s="10"/>
      <c r="F494" s="53"/>
      <c r="G494" s="9"/>
      <c r="J494" s="17"/>
      <c r="K494" s="17"/>
      <c r="N494" s="10"/>
    </row>
    <row r="495" spans="5:14" x14ac:dyDescent="0.2">
      <c r="E495" s="10"/>
      <c r="F495" s="53"/>
      <c r="G495" s="9"/>
      <c r="J495" s="17"/>
      <c r="K495" s="17"/>
      <c r="N495" s="10"/>
    </row>
    <row r="496" spans="5:14" x14ac:dyDescent="0.2">
      <c r="E496" s="10"/>
      <c r="F496" s="53"/>
      <c r="G496" s="9"/>
      <c r="J496" s="17"/>
      <c r="K496" s="17"/>
      <c r="N496" s="10"/>
    </row>
    <row r="497" spans="5:14" x14ac:dyDescent="0.2">
      <c r="E497" s="10"/>
      <c r="F497" s="53"/>
      <c r="G497" s="9"/>
      <c r="J497" s="17"/>
      <c r="K497" s="17"/>
      <c r="N497" s="10"/>
    </row>
    <row r="498" spans="5:14" x14ac:dyDescent="0.2">
      <c r="E498" s="10"/>
      <c r="F498" s="53"/>
      <c r="G498" s="9"/>
      <c r="J498" s="17"/>
      <c r="K498" s="17"/>
      <c r="N498" s="10"/>
    </row>
    <row r="499" spans="5:14" x14ac:dyDescent="0.2">
      <c r="E499" s="10"/>
      <c r="F499" s="53"/>
      <c r="G499" s="9"/>
      <c r="J499" s="17"/>
      <c r="K499" s="17"/>
      <c r="N499" s="10"/>
    </row>
    <row r="500" spans="5:14" x14ac:dyDescent="0.2">
      <c r="E500" s="10"/>
      <c r="F500" s="53"/>
      <c r="G500" s="9"/>
      <c r="J500" s="17"/>
      <c r="K500" s="17"/>
      <c r="N500" s="10"/>
    </row>
    <row r="501" spans="5:14" x14ac:dyDescent="0.2">
      <c r="E501" s="10"/>
      <c r="F501" s="53"/>
      <c r="G501" s="9"/>
      <c r="J501" s="17"/>
      <c r="K501" s="17"/>
      <c r="N501" s="10"/>
    </row>
    <row r="502" spans="5:14" x14ac:dyDescent="0.2">
      <c r="E502" s="10"/>
      <c r="F502" s="53"/>
      <c r="G502" s="9"/>
      <c r="J502" s="17"/>
      <c r="K502" s="17"/>
      <c r="N502" s="10"/>
    </row>
    <row r="503" spans="5:14" x14ac:dyDescent="0.2">
      <c r="E503" s="10"/>
      <c r="F503" s="53"/>
      <c r="G503" s="9"/>
      <c r="J503" s="17"/>
      <c r="K503" s="17"/>
      <c r="N503" s="10"/>
    </row>
    <row r="504" spans="5:14" x14ac:dyDescent="0.2">
      <c r="E504" s="10"/>
      <c r="F504" s="53"/>
      <c r="G504" s="9"/>
      <c r="J504" s="17"/>
      <c r="K504" s="17"/>
      <c r="N504" s="10"/>
    </row>
    <row r="505" spans="5:14" x14ac:dyDescent="0.2">
      <c r="E505" s="10"/>
      <c r="F505" s="53"/>
      <c r="G505" s="9"/>
      <c r="J505" s="17"/>
      <c r="K505" s="17"/>
      <c r="N505" s="10"/>
    </row>
    <row r="506" spans="5:14" x14ac:dyDescent="0.2">
      <c r="E506" s="10"/>
      <c r="F506" s="53"/>
      <c r="G506" s="9"/>
      <c r="J506" s="17"/>
      <c r="K506" s="17"/>
      <c r="N506" s="10"/>
    </row>
    <row r="507" spans="5:14" x14ac:dyDescent="0.2">
      <c r="E507" s="10"/>
      <c r="F507" s="53"/>
      <c r="G507" s="9"/>
      <c r="J507" s="17"/>
      <c r="K507" s="17"/>
      <c r="N507" s="10"/>
    </row>
    <row r="508" spans="5:14" x14ac:dyDescent="0.2">
      <c r="E508" s="10"/>
      <c r="F508" s="53"/>
      <c r="G508" s="9"/>
      <c r="J508" s="17"/>
      <c r="K508" s="17"/>
      <c r="N508" s="10"/>
    </row>
    <row r="509" spans="5:14" x14ac:dyDescent="0.2">
      <c r="E509" s="10"/>
      <c r="F509" s="53"/>
      <c r="G509" s="9"/>
      <c r="J509" s="17"/>
      <c r="K509" s="17"/>
      <c r="N509" s="10"/>
    </row>
    <row r="510" spans="5:14" x14ac:dyDescent="0.2">
      <c r="E510" s="10"/>
      <c r="F510" s="53"/>
      <c r="G510" s="9"/>
      <c r="J510" s="17"/>
      <c r="K510" s="17"/>
      <c r="N510" s="10"/>
    </row>
    <row r="511" spans="5:14" x14ac:dyDescent="0.2">
      <c r="E511" s="10"/>
      <c r="F511" s="53"/>
      <c r="G511" s="9"/>
      <c r="J511" s="17"/>
      <c r="K511" s="17"/>
      <c r="N511" s="10"/>
    </row>
    <row r="512" spans="5:14" x14ac:dyDescent="0.2">
      <c r="E512" s="10"/>
      <c r="F512" s="53"/>
      <c r="G512" s="9"/>
      <c r="J512" s="17"/>
      <c r="K512" s="17"/>
      <c r="N512" s="10"/>
    </row>
    <row r="513" spans="5:14" x14ac:dyDescent="0.2">
      <c r="E513" s="10"/>
      <c r="F513" s="53"/>
      <c r="G513" s="9"/>
      <c r="J513" s="17"/>
      <c r="K513" s="17"/>
      <c r="N513" s="10"/>
    </row>
    <row r="514" spans="5:14" x14ac:dyDescent="0.2">
      <c r="E514" s="10"/>
      <c r="F514" s="53"/>
      <c r="G514" s="9"/>
      <c r="J514" s="17"/>
      <c r="K514" s="17"/>
      <c r="N514" s="10"/>
    </row>
    <row r="515" spans="5:14" x14ac:dyDescent="0.2">
      <c r="E515" s="10"/>
      <c r="F515" s="53"/>
      <c r="G515" s="9"/>
      <c r="J515" s="17"/>
      <c r="K515" s="17"/>
      <c r="N515" s="10"/>
    </row>
    <row r="516" spans="5:14" x14ac:dyDescent="0.2">
      <c r="E516" s="10"/>
      <c r="F516" s="53"/>
      <c r="G516" s="9"/>
      <c r="J516" s="17"/>
      <c r="K516" s="17"/>
      <c r="N516" s="10"/>
    </row>
    <row r="517" spans="5:14" x14ac:dyDescent="0.2">
      <c r="E517" s="10"/>
      <c r="F517" s="53"/>
      <c r="G517" s="9"/>
      <c r="J517" s="17"/>
      <c r="K517" s="17"/>
      <c r="N517" s="10"/>
    </row>
    <row r="518" spans="5:14" x14ac:dyDescent="0.2">
      <c r="E518" s="10"/>
      <c r="F518" s="53"/>
      <c r="G518" s="9"/>
      <c r="J518" s="17"/>
      <c r="K518" s="17"/>
      <c r="N518" s="10"/>
    </row>
    <row r="519" spans="5:14" x14ac:dyDescent="0.2">
      <c r="E519" s="10"/>
      <c r="F519" s="53"/>
      <c r="G519" s="9"/>
      <c r="J519" s="17"/>
      <c r="K519" s="17"/>
      <c r="N519" s="10"/>
    </row>
    <row r="520" spans="5:14" x14ac:dyDescent="0.2">
      <c r="E520" s="10"/>
      <c r="F520" s="53"/>
      <c r="G520" s="9"/>
      <c r="J520" s="17"/>
      <c r="K520" s="17"/>
      <c r="N520" s="10"/>
    </row>
    <row r="521" spans="5:14" x14ac:dyDescent="0.2">
      <c r="E521" s="10"/>
      <c r="F521" s="53"/>
      <c r="G521" s="9"/>
      <c r="J521" s="17"/>
      <c r="K521" s="17"/>
      <c r="N521" s="10"/>
    </row>
    <row r="522" spans="5:14" x14ac:dyDescent="0.2">
      <c r="E522" s="10"/>
      <c r="F522" s="53"/>
      <c r="G522" s="9"/>
      <c r="J522" s="17"/>
      <c r="K522" s="17"/>
      <c r="N522" s="10"/>
    </row>
    <row r="523" spans="5:14" x14ac:dyDescent="0.2">
      <c r="E523" s="10"/>
      <c r="F523" s="53"/>
      <c r="G523" s="9"/>
      <c r="J523" s="17"/>
      <c r="K523" s="17"/>
      <c r="N523" s="10"/>
    </row>
    <row r="524" spans="5:14" x14ac:dyDescent="0.2">
      <c r="E524" s="10"/>
      <c r="F524" s="53"/>
      <c r="G524" s="9"/>
      <c r="J524" s="17"/>
      <c r="K524" s="17"/>
      <c r="N524" s="10"/>
    </row>
    <row r="525" spans="5:14" x14ac:dyDescent="0.2">
      <c r="E525" s="10"/>
      <c r="F525" s="53"/>
      <c r="G525" s="9"/>
      <c r="J525" s="17"/>
      <c r="K525" s="17"/>
      <c r="N525" s="10"/>
    </row>
    <row r="526" spans="5:14" x14ac:dyDescent="0.2">
      <c r="E526" s="10"/>
      <c r="F526" s="53"/>
      <c r="G526" s="9"/>
      <c r="J526" s="17"/>
      <c r="K526" s="17"/>
      <c r="N526" s="10"/>
    </row>
    <row r="527" spans="5:14" x14ac:dyDescent="0.2">
      <c r="E527" s="10"/>
      <c r="F527" s="53"/>
      <c r="G527" s="9"/>
      <c r="J527" s="17"/>
      <c r="K527" s="17"/>
      <c r="N527" s="10"/>
    </row>
    <row r="528" spans="5:14" x14ac:dyDescent="0.2">
      <c r="E528" s="10"/>
      <c r="F528" s="53"/>
      <c r="G528" s="9"/>
      <c r="J528" s="17"/>
      <c r="K528" s="17"/>
      <c r="N528" s="10"/>
    </row>
    <row r="529" spans="5:14" x14ac:dyDescent="0.2">
      <c r="E529" s="10"/>
      <c r="F529" s="53"/>
      <c r="G529" s="9"/>
      <c r="J529" s="17"/>
      <c r="K529" s="17"/>
      <c r="N529" s="10"/>
    </row>
    <row r="530" spans="5:14" x14ac:dyDescent="0.2">
      <c r="E530" s="10"/>
      <c r="F530" s="53"/>
      <c r="G530" s="9"/>
      <c r="J530" s="17"/>
      <c r="K530" s="17"/>
      <c r="N530" s="10"/>
    </row>
    <row r="531" spans="5:14" x14ac:dyDescent="0.2">
      <c r="E531" s="10"/>
      <c r="F531" s="53"/>
      <c r="G531" s="9"/>
      <c r="J531" s="17"/>
      <c r="K531" s="17"/>
      <c r="N531" s="10"/>
    </row>
    <row r="532" spans="5:14" x14ac:dyDescent="0.2">
      <c r="E532" s="10"/>
      <c r="F532" s="53"/>
      <c r="G532" s="9"/>
      <c r="J532" s="17"/>
      <c r="K532" s="17"/>
      <c r="N532" s="10"/>
    </row>
    <row r="533" spans="5:14" x14ac:dyDescent="0.2">
      <c r="E533" s="10"/>
      <c r="F533" s="53"/>
      <c r="G533" s="9"/>
      <c r="J533" s="17"/>
      <c r="K533" s="17"/>
      <c r="N533" s="10"/>
    </row>
    <row r="534" spans="5:14" x14ac:dyDescent="0.2">
      <c r="E534" s="10"/>
      <c r="F534" s="53"/>
      <c r="G534" s="9"/>
      <c r="J534" s="17"/>
      <c r="K534" s="17"/>
      <c r="N534" s="10"/>
    </row>
    <row r="535" spans="5:14" x14ac:dyDescent="0.2">
      <c r="E535" s="10"/>
      <c r="F535" s="53"/>
      <c r="G535" s="9"/>
      <c r="J535" s="17"/>
      <c r="K535" s="17"/>
      <c r="N535" s="10"/>
    </row>
    <row r="536" spans="5:14" x14ac:dyDescent="0.2">
      <c r="E536" s="10"/>
      <c r="F536" s="53"/>
      <c r="G536" s="9"/>
      <c r="J536" s="17"/>
      <c r="K536" s="17"/>
      <c r="N536" s="10"/>
    </row>
    <row r="537" spans="5:14" x14ac:dyDescent="0.2">
      <c r="E537" s="10"/>
      <c r="F537" s="53"/>
      <c r="G537" s="9"/>
      <c r="J537" s="17"/>
      <c r="K537" s="17"/>
      <c r="N537" s="10"/>
    </row>
    <row r="538" spans="5:14" x14ac:dyDescent="0.2">
      <c r="E538" s="10"/>
      <c r="F538" s="53"/>
      <c r="G538" s="9"/>
      <c r="J538" s="17"/>
      <c r="K538" s="17"/>
      <c r="N538" s="10"/>
    </row>
    <row r="539" spans="5:14" x14ac:dyDescent="0.2">
      <c r="E539" s="10"/>
      <c r="F539" s="53"/>
      <c r="G539" s="9"/>
      <c r="J539" s="17"/>
      <c r="K539" s="17"/>
      <c r="N539" s="10"/>
    </row>
    <row r="540" spans="5:14" x14ac:dyDescent="0.2">
      <c r="E540" s="10"/>
      <c r="F540" s="53"/>
      <c r="G540" s="9"/>
      <c r="J540" s="17"/>
      <c r="K540" s="17"/>
      <c r="N540" s="10"/>
    </row>
    <row r="541" spans="5:14" x14ac:dyDescent="0.2">
      <c r="E541" s="10"/>
      <c r="F541" s="53"/>
      <c r="G541" s="9"/>
      <c r="J541" s="17"/>
      <c r="K541" s="17"/>
      <c r="N541" s="10"/>
    </row>
    <row r="542" spans="5:14" x14ac:dyDescent="0.2">
      <c r="E542" s="10"/>
      <c r="F542" s="53"/>
      <c r="G542" s="9"/>
      <c r="J542" s="17"/>
      <c r="K542" s="17"/>
      <c r="N542" s="10"/>
    </row>
    <row r="543" spans="5:14" x14ac:dyDescent="0.2">
      <c r="E543" s="10"/>
      <c r="F543" s="53"/>
      <c r="G543" s="9"/>
      <c r="J543" s="17"/>
      <c r="K543" s="17"/>
      <c r="N543" s="10"/>
    </row>
    <row r="544" spans="5:14" x14ac:dyDescent="0.2">
      <c r="E544" s="10"/>
      <c r="F544" s="53"/>
      <c r="G544" s="9"/>
      <c r="J544" s="17"/>
      <c r="K544" s="17"/>
      <c r="N544" s="10"/>
    </row>
    <row r="545" spans="5:14" x14ac:dyDescent="0.2">
      <c r="E545" s="10"/>
      <c r="F545" s="53"/>
      <c r="G545" s="9"/>
      <c r="J545" s="17"/>
      <c r="K545" s="17"/>
      <c r="N545" s="10"/>
    </row>
    <row r="546" spans="5:14" x14ac:dyDescent="0.2">
      <c r="E546" s="10"/>
      <c r="F546" s="53"/>
      <c r="G546" s="9"/>
      <c r="J546" s="17"/>
      <c r="K546" s="17"/>
      <c r="N546" s="10"/>
    </row>
    <row r="547" spans="5:14" x14ac:dyDescent="0.2">
      <c r="E547" s="10"/>
      <c r="F547" s="53"/>
      <c r="G547" s="9"/>
      <c r="J547" s="17"/>
      <c r="K547" s="17"/>
      <c r="N547" s="10"/>
    </row>
    <row r="548" spans="5:14" x14ac:dyDescent="0.2">
      <c r="E548" s="10"/>
      <c r="F548" s="53"/>
      <c r="G548" s="9"/>
      <c r="J548" s="17"/>
      <c r="K548" s="17"/>
      <c r="N548" s="10"/>
    </row>
    <row r="549" spans="5:14" x14ac:dyDescent="0.2">
      <c r="E549" s="10"/>
      <c r="F549" s="53"/>
      <c r="G549" s="9"/>
      <c r="J549" s="17"/>
      <c r="K549" s="17"/>
      <c r="N549" s="10"/>
    </row>
    <row r="550" spans="5:14" x14ac:dyDescent="0.2">
      <c r="E550" s="10"/>
      <c r="F550" s="53"/>
      <c r="G550" s="9"/>
      <c r="J550" s="17"/>
      <c r="K550" s="17"/>
      <c r="N550" s="10"/>
    </row>
    <row r="551" spans="5:14" x14ac:dyDescent="0.2">
      <c r="E551" s="10"/>
      <c r="F551" s="53"/>
      <c r="G551" s="9"/>
      <c r="J551" s="17"/>
      <c r="K551" s="17"/>
      <c r="N551" s="10"/>
    </row>
    <row r="552" spans="5:14" x14ac:dyDescent="0.2">
      <c r="E552" s="10"/>
      <c r="F552" s="53"/>
      <c r="G552" s="9"/>
      <c r="J552" s="17"/>
      <c r="K552" s="17"/>
      <c r="N552" s="10"/>
    </row>
    <row r="553" spans="5:14" x14ac:dyDescent="0.2">
      <c r="E553" s="10"/>
      <c r="F553" s="53"/>
      <c r="G553" s="9"/>
      <c r="J553" s="17"/>
      <c r="K553" s="17"/>
      <c r="N553" s="10"/>
    </row>
    <row r="554" spans="5:14" x14ac:dyDescent="0.2">
      <c r="E554" s="10"/>
      <c r="F554" s="53"/>
      <c r="G554" s="9"/>
      <c r="J554" s="17"/>
      <c r="K554" s="17"/>
      <c r="N554" s="10"/>
    </row>
    <row r="555" spans="5:14" x14ac:dyDescent="0.2">
      <c r="E555" s="10"/>
      <c r="F555" s="53"/>
      <c r="G555" s="9"/>
      <c r="J555" s="17"/>
      <c r="K555" s="17"/>
      <c r="N555" s="10"/>
    </row>
    <row r="556" spans="5:14" x14ac:dyDescent="0.2">
      <c r="E556" s="10"/>
      <c r="F556" s="53"/>
      <c r="G556" s="9"/>
      <c r="J556" s="17"/>
      <c r="K556" s="17"/>
      <c r="N556" s="10"/>
    </row>
    <row r="557" spans="5:14" x14ac:dyDescent="0.2">
      <c r="E557" s="10"/>
      <c r="F557" s="53"/>
      <c r="G557" s="9"/>
      <c r="J557" s="17"/>
      <c r="K557" s="17"/>
      <c r="N557" s="10"/>
    </row>
    <row r="558" spans="5:14" x14ac:dyDescent="0.2">
      <c r="E558" s="10"/>
      <c r="F558" s="53"/>
      <c r="G558" s="9"/>
      <c r="J558" s="17"/>
      <c r="K558" s="17"/>
      <c r="N558" s="10"/>
    </row>
    <row r="559" spans="5:14" x14ac:dyDescent="0.2">
      <c r="E559" s="10"/>
      <c r="F559" s="53"/>
      <c r="G559" s="9"/>
      <c r="J559" s="17"/>
      <c r="K559" s="17"/>
      <c r="N559" s="10"/>
    </row>
    <row r="560" spans="5:14" x14ac:dyDescent="0.2">
      <c r="E560" s="10"/>
      <c r="F560" s="53"/>
      <c r="G560" s="9"/>
      <c r="J560" s="17"/>
      <c r="K560" s="17"/>
      <c r="N560" s="10"/>
    </row>
    <row r="561" spans="5:14" x14ac:dyDescent="0.2">
      <c r="E561" s="10"/>
      <c r="F561" s="53"/>
      <c r="G561" s="9"/>
      <c r="J561" s="17"/>
      <c r="K561" s="17"/>
      <c r="N561" s="10"/>
    </row>
    <row r="562" spans="5:14" x14ac:dyDescent="0.2">
      <c r="E562" s="10"/>
      <c r="F562" s="53"/>
      <c r="G562" s="9"/>
      <c r="J562" s="17"/>
      <c r="K562" s="17"/>
      <c r="N562" s="10"/>
    </row>
    <row r="563" spans="5:14" x14ac:dyDescent="0.2">
      <c r="E563" s="10"/>
      <c r="F563" s="53"/>
      <c r="G563" s="9"/>
      <c r="J563" s="17"/>
      <c r="K563" s="17"/>
      <c r="N563" s="10"/>
    </row>
    <row r="564" spans="5:14" x14ac:dyDescent="0.2">
      <c r="E564" s="10"/>
      <c r="F564" s="53"/>
      <c r="G564" s="9"/>
      <c r="J564" s="17"/>
      <c r="K564" s="17"/>
      <c r="N564" s="10"/>
    </row>
    <row r="565" spans="5:14" x14ac:dyDescent="0.2">
      <c r="E565" s="10"/>
      <c r="F565" s="53"/>
      <c r="G565" s="9"/>
      <c r="J565" s="17"/>
      <c r="K565" s="17"/>
      <c r="N565" s="10"/>
    </row>
    <row r="566" spans="5:14" x14ac:dyDescent="0.2">
      <c r="E566" s="10"/>
      <c r="F566" s="53"/>
      <c r="G566" s="9"/>
      <c r="J566" s="17"/>
      <c r="K566" s="17"/>
      <c r="N566" s="10"/>
    </row>
    <row r="567" spans="5:14" x14ac:dyDescent="0.2">
      <c r="E567" s="10"/>
      <c r="F567" s="53"/>
      <c r="G567" s="9"/>
      <c r="J567" s="17"/>
      <c r="K567" s="17"/>
      <c r="N567" s="10"/>
    </row>
    <row r="568" spans="5:14" x14ac:dyDescent="0.2">
      <c r="E568" s="10"/>
      <c r="F568" s="53"/>
      <c r="G568" s="9"/>
      <c r="J568" s="17"/>
      <c r="K568" s="17"/>
      <c r="N568" s="10"/>
    </row>
    <row r="569" spans="5:14" x14ac:dyDescent="0.2">
      <c r="E569" s="10"/>
      <c r="F569" s="53"/>
      <c r="G569" s="9"/>
      <c r="J569" s="17"/>
      <c r="K569" s="17"/>
      <c r="N569" s="10"/>
    </row>
    <row r="570" spans="5:14" x14ac:dyDescent="0.2">
      <c r="E570" s="10"/>
      <c r="F570" s="53"/>
      <c r="G570" s="9"/>
      <c r="J570" s="17"/>
      <c r="K570" s="17"/>
      <c r="N570" s="10"/>
    </row>
    <row r="571" spans="5:14" x14ac:dyDescent="0.2">
      <c r="E571" s="10"/>
      <c r="F571" s="53"/>
      <c r="G571" s="9"/>
      <c r="J571" s="17"/>
      <c r="K571" s="17"/>
      <c r="N571" s="10"/>
    </row>
    <row r="572" spans="5:14" x14ac:dyDescent="0.2">
      <c r="E572" s="10"/>
      <c r="F572" s="53"/>
      <c r="G572" s="9"/>
      <c r="J572" s="17"/>
      <c r="K572" s="17"/>
      <c r="N572" s="10"/>
    </row>
    <row r="573" spans="5:14" x14ac:dyDescent="0.2">
      <c r="E573" s="10"/>
      <c r="F573" s="53"/>
      <c r="G573" s="9"/>
      <c r="J573" s="17"/>
      <c r="K573" s="17"/>
      <c r="N573" s="10"/>
    </row>
    <row r="574" spans="5:14" x14ac:dyDescent="0.2">
      <c r="E574" s="10"/>
      <c r="F574" s="53"/>
      <c r="G574" s="9"/>
      <c r="J574" s="17"/>
      <c r="K574" s="17"/>
      <c r="N574" s="10"/>
    </row>
    <row r="575" spans="5:14" x14ac:dyDescent="0.2">
      <c r="E575" s="10"/>
      <c r="F575" s="53"/>
      <c r="G575" s="9"/>
      <c r="J575" s="17"/>
      <c r="K575" s="17"/>
      <c r="N575" s="10"/>
    </row>
    <row r="576" spans="5:14" x14ac:dyDescent="0.2">
      <c r="E576" s="10"/>
      <c r="F576" s="53"/>
      <c r="G576" s="9"/>
      <c r="J576" s="17"/>
      <c r="K576" s="17"/>
      <c r="N576" s="10"/>
    </row>
    <row r="577" spans="5:14" x14ac:dyDescent="0.2">
      <c r="E577" s="10"/>
      <c r="F577" s="53"/>
      <c r="G577" s="9"/>
      <c r="J577" s="17"/>
      <c r="K577" s="17"/>
      <c r="N577" s="10"/>
    </row>
    <row r="578" spans="5:14" x14ac:dyDescent="0.2">
      <c r="E578" s="10"/>
      <c r="F578" s="53"/>
      <c r="G578" s="9"/>
      <c r="J578" s="17"/>
      <c r="K578" s="17"/>
      <c r="N578" s="10"/>
    </row>
    <row r="579" spans="5:14" x14ac:dyDescent="0.2">
      <c r="E579" s="10"/>
      <c r="F579" s="53"/>
      <c r="G579" s="9"/>
      <c r="J579" s="17"/>
      <c r="K579" s="17"/>
      <c r="N579" s="10"/>
    </row>
    <row r="580" spans="5:14" x14ac:dyDescent="0.2">
      <c r="E580" s="10"/>
      <c r="F580" s="53"/>
      <c r="G580" s="9"/>
      <c r="J580" s="17"/>
      <c r="K580" s="17"/>
      <c r="N580" s="10"/>
    </row>
    <row r="581" spans="5:14" x14ac:dyDescent="0.2">
      <c r="E581" s="10"/>
      <c r="F581" s="53"/>
      <c r="G581" s="9"/>
      <c r="J581" s="17"/>
      <c r="K581" s="17"/>
      <c r="N581" s="10"/>
    </row>
    <row r="582" spans="5:14" x14ac:dyDescent="0.2">
      <c r="E582" s="10"/>
      <c r="F582" s="53"/>
      <c r="G582" s="9"/>
      <c r="J582" s="17"/>
      <c r="K582" s="17"/>
      <c r="N582" s="10"/>
    </row>
    <row r="583" spans="5:14" x14ac:dyDescent="0.2">
      <c r="E583" s="10"/>
      <c r="F583" s="53"/>
      <c r="G583" s="9"/>
      <c r="J583" s="17"/>
      <c r="K583" s="17"/>
      <c r="N583" s="10"/>
    </row>
    <row r="584" spans="5:14" x14ac:dyDescent="0.2">
      <c r="E584" s="10"/>
      <c r="F584" s="53"/>
      <c r="G584" s="9"/>
      <c r="J584" s="17"/>
      <c r="K584" s="17"/>
      <c r="N584" s="10"/>
    </row>
    <row r="585" spans="5:14" x14ac:dyDescent="0.2">
      <c r="E585" s="10"/>
      <c r="F585" s="53"/>
      <c r="G585" s="9"/>
      <c r="J585" s="17"/>
      <c r="K585" s="17"/>
      <c r="N585" s="10"/>
    </row>
    <row r="586" spans="5:14" x14ac:dyDescent="0.2">
      <c r="E586" s="10"/>
      <c r="F586" s="53"/>
      <c r="G586" s="9"/>
      <c r="J586" s="17"/>
      <c r="K586" s="17"/>
      <c r="N586" s="10"/>
    </row>
    <row r="587" spans="5:14" x14ac:dyDescent="0.2">
      <c r="E587" s="10"/>
      <c r="F587" s="53"/>
      <c r="G587" s="9"/>
      <c r="J587" s="17"/>
      <c r="K587" s="17"/>
      <c r="N587" s="10"/>
    </row>
    <row r="588" spans="5:14" x14ac:dyDescent="0.2">
      <c r="E588" s="10"/>
      <c r="F588" s="53"/>
      <c r="G588" s="9"/>
      <c r="J588" s="17"/>
      <c r="K588" s="17"/>
      <c r="N588" s="10"/>
    </row>
    <row r="589" spans="5:14" x14ac:dyDescent="0.2">
      <c r="E589" s="10"/>
      <c r="F589" s="53"/>
      <c r="G589" s="9"/>
      <c r="J589" s="17"/>
      <c r="K589" s="17"/>
      <c r="N589" s="10"/>
    </row>
    <row r="590" spans="5:14" x14ac:dyDescent="0.2">
      <c r="E590" s="10"/>
      <c r="F590" s="53"/>
      <c r="G590" s="9"/>
      <c r="J590" s="17"/>
      <c r="K590" s="17"/>
      <c r="N590" s="10"/>
    </row>
    <row r="591" spans="5:14" x14ac:dyDescent="0.2">
      <c r="E591" s="10"/>
      <c r="F591" s="53"/>
      <c r="G591" s="9"/>
      <c r="J591" s="17"/>
      <c r="K591" s="17"/>
      <c r="N591" s="10"/>
    </row>
    <row r="592" spans="5:14" x14ac:dyDescent="0.2">
      <c r="E592" s="10"/>
      <c r="F592" s="53"/>
      <c r="G592" s="9"/>
      <c r="J592" s="17"/>
      <c r="K592" s="17"/>
      <c r="N592" s="10"/>
    </row>
    <row r="593" spans="5:14" x14ac:dyDescent="0.2">
      <c r="E593" s="10"/>
      <c r="F593" s="53"/>
      <c r="G593" s="9"/>
      <c r="J593" s="17"/>
      <c r="K593" s="17"/>
      <c r="N593" s="10"/>
    </row>
    <row r="594" spans="5:14" x14ac:dyDescent="0.2">
      <c r="E594" s="10"/>
      <c r="F594" s="53"/>
      <c r="G594" s="9"/>
      <c r="J594" s="17"/>
      <c r="K594" s="17"/>
      <c r="N594" s="10"/>
    </row>
    <row r="595" spans="5:14" x14ac:dyDescent="0.2">
      <c r="E595" s="10"/>
      <c r="F595" s="53"/>
      <c r="G595" s="9"/>
      <c r="J595" s="17"/>
      <c r="K595" s="17"/>
      <c r="N595" s="10"/>
    </row>
    <row r="596" spans="5:14" x14ac:dyDescent="0.2">
      <c r="E596" s="10"/>
      <c r="F596" s="53"/>
      <c r="G596" s="9"/>
      <c r="J596" s="17"/>
      <c r="K596" s="17"/>
      <c r="N596" s="10"/>
    </row>
    <row r="597" spans="5:14" x14ac:dyDescent="0.2">
      <c r="E597" s="10"/>
      <c r="F597" s="53"/>
      <c r="G597" s="9"/>
      <c r="J597" s="17"/>
      <c r="K597" s="17"/>
      <c r="N597" s="10"/>
    </row>
    <row r="598" spans="5:14" x14ac:dyDescent="0.2">
      <c r="E598" s="10"/>
      <c r="F598" s="53"/>
      <c r="G598" s="9"/>
      <c r="J598" s="17"/>
      <c r="K598" s="17"/>
      <c r="N598" s="10"/>
    </row>
    <row r="599" spans="5:14" x14ac:dyDescent="0.2">
      <c r="E599" s="10"/>
      <c r="F599" s="53"/>
      <c r="G599" s="9"/>
      <c r="J599" s="17"/>
      <c r="K599" s="17"/>
      <c r="N599" s="10"/>
    </row>
    <row r="600" spans="5:14" x14ac:dyDescent="0.2">
      <c r="E600" s="10"/>
      <c r="F600" s="53"/>
      <c r="G600" s="9"/>
      <c r="J600" s="17"/>
      <c r="K600" s="17"/>
      <c r="N600" s="10"/>
    </row>
    <row r="601" spans="5:14" x14ac:dyDescent="0.2">
      <c r="E601" s="10"/>
      <c r="F601" s="53"/>
      <c r="G601" s="9"/>
      <c r="J601" s="17"/>
      <c r="K601" s="17"/>
      <c r="N601" s="10"/>
    </row>
    <row r="602" spans="5:14" x14ac:dyDescent="0.2">
      <c r="E602" s="10"/>
      <c r="F602" s="53"/>
      <c r="G602" s="9"/>
      <c r="J602" s="17"/>
      <c r="K602" s="17"/>
      <c r="N602" s="10"/>
    </row>
    <row r="603" spans="5:14" x14ac:dyDescent="0.2">
      <c r="E603" s="10"/>
      <c r="F603" s="53"/>
      <c r="G603" s="9"/>
      <c r="J603" s="17"/>
      <c r="K603" s="17"/>
      <c r="N603" s="10"/>
    </row>
    <row r="604" spans="5:14" x14ac:dyDescent="0.2">
      <c r="E604" s="10"/>
      <c r="F604" s="53"/>
      <c r="G604" s="9"/>
      <c r="J604" s="17"/>
      <c r="K604" s="17"/>
      <c r="N604" s="10"/>
    </row>
    <row r="605" spans="5:14" x14ac:dyDescent="0.2">
      <c r="E605" s="10"/>
      <c r="F605" s="53"/>
      <c r="G605" s="9"/>
      <c r="J605" s="17"/>
      <c r="K605" s="17"/>
      <c r="N605" s="10"/>
    </row>
    <row r="606" spans="5:14" x14ac:dyDescent="0.2">
      <c r="E606" s="10"/>
      <c r="F606" s="53"/>
      <c r="G606" s="9"/>
      <c r="J606" s="17"/>
      <c r="K606" s="17"/>
      <c r="N606" s="10"/>
    </row>
    <row r="607" spans="5:14" x14ac:dyDescent="0.2">
      <c r="E607" s="10"/>
      <c r="F607" s="53"/>
      <c r="G607" s="9"/>
      <c r="J607" s="17"/>
      <c r="K607" s="17"/>
      <c r="N607" s="10"/>
    </row>
    <row r="608" spans="5:14" x14ac:dyDescent="0.2">
      <c r="E608" s="10"/>
      <c r="F608" s="53"/>
      <c r="G608" s="9"/>
      <c r="J608" s="17"/>
      <c r="K608" s="17"/>
      <c r="N608" s="10"/>
    </row>
    <row r="609" spans="5:14" x14ac:dyDescent="0.2">
      <c r="E609" s="10"/>
      <c r="F609" s="53"/>
      <c r="G609" s="9"/>
      <c r="J609" s="17"/>
      <c r="K609" s="17"/>
      <c r="N609" s="10"/>
    </row>
    <row r="610" spans="5:14" x14ac:dyDescent="0.2">
      <c r="E610" s="10"/>
      <c r="F610" s="53"/>
      <c r="G610" s="9"/>
      <c r="J610" s="17"/>
      <c r="K610" s="17"/>
      <c r="N610" s="10"/>
    </row>
    <row r="611" spans="5:14" x14ac:dyDescent="0.2">
      <c r="E611" s="10"/>
      <c r="F611" s="53"/>
      <c r="G611" s="9"/>
      <c r="J611" s="17"/>
      <c r="K611" s="17"/>
      <c r="N611" s="10"/>
    </row>
    <row r="612" spans="5:14" x14ac:dyDescent="0.2">
      <c r="E612" s="10"/>
      <c r="F612" s="53"/>
      <c r="G612" s="9"/>
      <c r="J612" s="17"/>
      <c r="K612" s="17"/>
      <c r="N612" s="10"/>
    </row>
    <row r="613" spans="5:14" x14ac:dyDescent="0.2">
      <c r="E613" s="10"/>
      <c r="F613" s="53"/>
      <c r="G613" s="9"/>
      <c r="J613" s="17"/>
      <c r="K613" s="17"/>
      <c r="N613" s="10"/>
    </row>
    <row r="614" spans="5:14" x14ac:dyDescent="0.2">
      <c r="E614" s="10"/>
      <c r="F614" s="53"/>
      <c r="G614" s="9"/>
      <c r="J614" s="17"/>
      <c r="K614" s="17"/>
      <c r="N614" s="10"/>
    </row>
    <row r="615" spans="5:14" x14ac:dyDescent="0.2">
      <c r="E615" s="10"/>
      <c r="F615" s="53"/>
      <c r="G615" s="9"/>
      <c r="J615" s="17"/>
      <c r="K615" s="17"/>
      <c r="N615" s="10"/>
    </row>
    <row r="616" spans="5:14" x14ac:dyDescent="0.2">
      <c r="E616" s="10"/>
      <c r="F616" s="53"/>
      <c r="G616" s="9"/>
      <c r="J616" s="17"/>
      <c r="K616" s="17"/>
      <c r="N616" s="10"/>
    </row>
    <row r="617" spans="5:14" x14ac:dyDescent="0.2">
      <c r="E617" s="10"/>
      <c r="F617" s="53"/>
      <c r="G617" s="9"/>
      <c r="J617" s="17"/>
      <c r="K617" s="17"/>
      <c r="N617" s="10"/>
    </row>
    <row r="618" spans="5:14" x14ac:dyDescent="0.2">
      <c r="E618" s="10"/>
      <c r="F618" s="53"/>
      <c r="G618" s="9"/>
      <c r="J618" s="17"/>
      <c r="K618" s="17"/>
      <c r="N618" s="10"/>
    </row>
    <row r="619" spans="5:14" x14ac:dyDescent="0.2">
      <c r="E619" s="10"/>
      <c r="F619" s="53"/>
      <c r="G619" s="9"/>
      <c r="J619" s="17"/>
      <c r="K619" s="17"/>
      <c r="N619" s="10"/>
    </row>
    <row r="620" spans="5:14" x14ac:dyDescent="0.2">
      <c r="E620" s="10"/>
      <c r="F620" s="53"/>
      <c r="G620" s="9"/>
      <c r="J620" s="17"/>
      <c r="K620" s="17"/>
      <c r="N620" s="10"/>
    </row>
    <row r="621" spans="5:14" x14ac:dyDescent="0.2">
      <c r="E621" s="10"/>
      <c r="F621" s="53"/>
      <c r="G621" s="9"/>
      <c r="J621" s="17"/>
      <c r="K621" s="17"/>
      <c r="N621" s="10"/>
    </row>
    <row r="622" spans="5:14" x14ac:dyDescent="0.2">
      <c r="E622" s="10"/>
      <c r="F622" s="53"/>
      <c r="G622" s="9"/>
      <c r="J622" s="17"/>
      <c r="K622" s="17"/>
      <c r="N622" s="10"/>
    </row>
    <row r="623" spans="5:14" x14ac:dyDescent="0.2">
      <c r="E623" s="10"/>
      <c r="F623" s="53"/>
      <c r="G623" s="9"/>
      <c r="J623" s="17"/>
      <c r="K623" s="17"/>
      <c r="N623" s="10"/>
    </row>
    <row r="624" spans="5:14" x14ac:dyDescent="0.2">
      <c r="E624" s="10"/>
      <c r="F624" s="53"/>
      <c r="G624" s="9"/>
      <c r="J624" s="17"/>
      <c r="K624" s="17"/>
      <c r="N624" s="10"/>
    </row>
    <row r="625" spans="5:14" x14ac:dyDescent="0.2">
      <c r="E625" s="10"/>
      <c r="F625" s="53"/>
      <c r="G625" s="9"/>
      <c r="J625" s="17"/>
      <c r="K625" s="17"/>
      <c r="N625" s="10"/>
    </row>
    <row r="626" spans="5:14" x14ac:dyDescent="0.2">
      <c r="E626" s="10"/>
      <c r="F626" s="53"/>
      <c r="G626" s="9"/>
      <c r="J626" s="17"/>
      <c r="K626" s="17"/>
      <c r="N626" s="10"/>
    </row>
    <row r="627" spans="5:14" x14ac:dyDescent="0.2">
      <c r="E627" s="10"/>
      <c r="F627" s="53"/>
      <c r="G627" s="9"/>
      <c r="J627" s="17"/>
      <c r="K627" s="17"/>
      <c r="N627" s="10"/>
    </row>
    <row r="628" spans="5:14" x14ac:dyDescent="0.2">
      <c r="E628" s="10"/>
      <c r="F628" s="53"/>
      <c r="G628" s="9"/>
      <c r="J628" s="17"/>
      <c r="K628" s="17"/>
      <c r="N628" s="10"/>
    </row>
    <row r="629" spans="5:14" x14ac:dyDescent="0.2">
      <c r="E629" s="10"/>
      <c r="F629" s="53"/>
      <c r="G629" s="9"/>
      <c r="J629" s="17"/>
      <c r="K629" s="17"/>
      <c r="N629" s="10"/>
    </row>
    <row r="630" spans="5:14" x14ac:dyDescent="0.2">
      <c r="E630" s="10"/>
      <c r="F630" s="53"/>
      <c r="G630" s="9"/>
      <c r="J630" s="17"/>
      <c r="K630" s="17"/>
      <c r="N630" s="10"/>
    </row>
    <row r="631" spans="5:14" x14ac:dyDescent="0.2">
      <c r="E631" s="10"/>
      <c r="F631" s="53"/>
      <c r="G631" s="9"/>
      <c r="J631" s="17"/>
      <c r="K631" s="17"/>
      <c r="N631" s="10"/>
    </row>
    <row r="632" spans="5:14" x14ac:dyDescent="0.2">
      <c r="E632" s="10"/>
      <c r="F632" s="53"/>
      <c r="G632" s="9"/>
      <c r="J632" s="17"/>
      <c r="K632" s="17"/>
      <c r="N632" s="10"/>
    </row>
    <row r="633" spans="5:14" x14ac:dyDescent="0.2">
      <c r="E633" s="10"/>
      <c r="F633" s="53"/>
      <c r="G633" s="9"/>
      <c r="J633" s="17"/>
      <c r="K633" s="17"/>
      <c r="N633" s="10"/>
    </row>
    <row r="634" spans="5:14" x14ac:dyDescent="0.2">
      <c r="E634" s="10"/>
      <c r="F634" s="53"/>
      <c r="G634" s="9"/>
      <c r="J634" s="17"/>
      <c r="K634" s="17"/>
      <c r="N634" s="10"/>
    </row>
    <row r="635" spans="5:14" x14ac:dyDescent="0.2">
      <c r="E635" s="10"/>
      <c r="F635" s="53"/>
      <c r="G635" s="9"/>
      <c r="J635" s="17"/>
      <c r="K635" s="17"/>
      <c r="N635" s="10"/>
    </row>
    <row r="636" spans="5:14" x14ac:dyDescent="0.2">
      <c r="E636" s="10"/>
      <c r="F636" s="53"/>
      <c r="G636" s="9"/>
      <c r="J636" s="17"/>
      <c r="K636" s="17"/>
      <c r="N636" s="10"/>
    </row>
    <row r="637" spans="5:14" x14ac:dyDescent="0.2">
      <c r="E637" s="10"/>
      <c r="F637" s="53"/>
      <c r="G637" s="9"/>
      <c r="J637" s="17"/>
      <c r="K637" s="17"/>
      <c r="N637" s="10"/>
    </row>
    <row r="638" spans="5:14" x14ac:dyDescent="0.2">
      <c r="E638" s="10"/>
      <c r="F638" s="53"/>
      <c r="G638" s="9"/>
      <c r="J638" s="17"/>
      <c r="K638" s="17"/>
      <c r="N638" s="10"/>
    </row>
    <row r="639" spans="5:14" x14ac:dyDescent="0.2">
      <c r="E639" s="10"/>
      <c r="F639" s="53"/>
      <c r="G639" s="9"/>
      <c r="J639" s="17"/>
      <c r="K639" s="17"/>
      <c r="N639" s="10"/>
    </row>
    <row r="640" spans="5:14" x14ac:dyDescent="0.2">
      <c r="E640" s="10"/>
      <c r="F640" s="53"/>
      <c r="G640" s="9"/>
      <c r="J640" s="17"/>
      <c r="K640" s="17"/>
      <c r="N640" s="10"/>
    </row>
    <row r="641" spans="5:14" x14ac:dyDescent="0.2">
      <c r="E641" s="10"/>
      <c r="F641" s="53"/>
      <c r="G641" s="9"/>
      <c r="J641" s="17"/>
      <c r="K641" s="17"/>
      <c r="N641" s="10"/>
    </row>
    <row r="642" spans="5:14" x14ac:dyDescent="0.2">
      <c r="E642" s="10"/>
      <c r="F642" s="53"/>
      <c r="G642" s="9"/>
      <c r="J642" s="17"/>
      <c r="K642" s="17"/>
      <c r="N642" s="10"/>
    </row>
    <row r="643" spans="5:14" x14ac:dyDescent="0.2">
      <c r="E643" s="10"/>
      <c r="F643" s="53"/>
      <c r="G643" s="9"/>
      <c r="J643" s="17"/>
      <c r="K643" s="17"/>
      <c r="N643" s="10"/>
    </row>
    <row r="644" spans="5:14" x14ac:dyDescent="0.2">
      <c r="E644" s="10"/>
      <c r="F644" s="53"/>
      <c r="G644" s="9"/>
      <c r="J644" s="17"/>
      <c r="K644" s="17"/>
      <c r="N644" s="10"/>
    </row>
    <row r="645" spans="5:14" x14ac:dyDescent="0.2">
      <c r="E645" s="10"/>
      <c r="F645" s="53"/>
      <c r="G645" s="9"/>
      <c r="J645" s="17"/>
      <c r="K645" s="17"/>
      <c r="N645" s="10"/>
    </row>
    <row r="646" spans="5:14" x14ac:dyDescent="0.2">
      <c r="E646" s="10"/>
      <c r="F646" s="53"/>
      <c r="G646" s="9"/>
      <c r="J646" s="17"/>
      <c r="K646" s="17"/>
      <c r="N646" s="10"/>
    </row>
    <row r="647" spans="5:14" x14ac:dyDescent="0.2">
      <c r="E647" s="10"/>
      <c r="F647" s="53"/>
      <c r="G647" s="9"/>
      <c r="J647" s="17"/>
      <c r="K647" s="17"/>
      <c r="N647" s="10"/>
    </row>
    <row r="648" spans="5:14" x14ac:dyDescent="0.2">
      <c r="E648" s="10"/>
      <c r="F648" s="53"/>
      <c r="G648" s="9"/>
      <c r="J648" s="17"/>
      <c r="K648" s="17"/>
      <c r="N648" s="10"/>
    </row>
    <row r="649" spans="5:14" x14ac:dyDescent="0.2">
      <c r="E649" s="10"/>
      <c r="F649" s="53"/>
      <c r="G649" s="9"/>
      <c r="J649" s="17"/>
      <c r="K649" s="17"/>
      <c r="N649" s="10"/>
    </row>
    <row r="650" spans="5:14" x14ac:dyDescent="0.2">
      <c r="E650" s="10"/>
      <c r="F650" s="53"/>
      <c r="G650" s="9"/>
      <c r="J650" s="17"/>
      <c r="K650" s="17"/>
      <c r="N650" s="10"/>
    </row>
    <row r="651" spans="5:14" x14ac:dyDescent="0.2">
      <c r="E651" s="10"/>
      <c r="F651" s="53"/>
      <c r="G651" s="9"/>
      <c r="J651" s="17"/>
      <c r="K651" s="17"/>
      <c r="N651" s="10"/>
    </row>
    <row r="652" spans="5:14" x14ac:dyDescent="0.2">
      <c r="E652" s="10"/>
      <c r="F652" s="53"/>
      <c r="G652" s="9"/>
      <c r="J652" s="17"/>
      <c r="K652" s="17"/>
      <c r="N652" s="10"/>
    </row>
    <row r="653" spans="5:14" x14ac:dyDescent="0.2">
      <c r="E653" s="10"/>
      <c r="F653" s="53"/>
      <c r="G653" s="9"/>
      <c r="J653" s="17"/>
      <c r="K653" s="17"/>
      <c r="N653" s="10"/>
    </row>
    <row r="654" spans="5:14" x14ac:dyDescent="0.2">
      <c r="E654" s="10"/>
      <c r="F654" s="53"/>
      <c r="G654" s="9"/>
      <c r="J654" s="17"/>
      <c r="K654" s="17"/>
      <c r="N654" s="10"/>
    </row>
    <row r="655" spans="5:14" x14ac:dyDescent="0.2">
      <c r="E655" s="10"/>
      <c r="F655" s="53"/>
      <c r="G655" s="9"/>
      <c r="J655" s="17"/>
      <c r="K655" s="17"/>
      <c r="N655" s="10"/>
    </row>
    <row r="656" spans="5:14" x14ac:dyDescent="0.2">
      <c r="E656" s="10"/>
      <c r="F656" s="53"/>
      <c r="G656" s="9"/>
      <c r="J656" s="17"/>
      <c r="K656" s="17"/>
      <c r="N656" s="10"/>
    </row>
    <row r="657" spans="5:14" x14ac:dyDescent="0.2">
      <c r="E657" s="10"/>
      <c r="F657" s="53"/>
      <c r="G657" s="9"/>
      <c r="J657" s="17"/>
      <c r="K657" s="17"/>
      <c r="N657" s="10"/>
    </row>
    <row r="658" spans="5:14" x14ac:dyDescent="0.2">
      <c r="E658" s="10"/>
      <c r="F658" s="53"/>
      <c r="G658" s="9"/>
      <c r="J658" s="17"/>
      <c r="K658" s="17"/>
      <c r="N658" s="10"/>
    </row>
    <row r="659" spans="5:14" x14ac:dyDescent="0.2">
      <c r="E659" s="10"/>
      <c r="F659" s="53"/>
      <c r="G659" s="9"/>
      <c r="J659" s="17"/>
      <c r="K659" s="17"/>
      <c r="N659" s="10"/>
    </row>
    <row r="660" spans="5:14" x14ac:dyDescent="0.2">
      <c r="J660" s="17"/>
      <c r="K660" s="17"/>
    </row>
    <row r="661" spans="5:14" ht="12.75" x14ac:dyDescent="0.2">
      <c r="E661" s="54"/>
      <c r="F661" s="55"/>
      <c r="G661" s="56">
        <f>SUM(G10:G660)</f>
        <v>0</v>
      </c>
      <c r="N661" s="54"/>
    </row>
  </sheetData>
  <mergeCells count="5">
    <mergeCell ref="I3:K3"/>
    <mergeCell ref="M3:M4"/>
    <mergeCell ref="B3:B4"/>
    <mergeCell ref="C3:C4"/>
    <mergeCell ref="E3:G3"/>
  </mergeCells>
  <dataValidations disablePrompts="1" count="2">
    <dataValidation type="list" allowBlank="1" showInputMessage="1" showErrorMessage="1" sqref="L10:L658 M41:M658" xr:uid="{9FD671F0-5DCA-40B5-8568-448DDED31449}">
      <formula1>Taxes</formula1>
    </dataValidation>
    <dataValidation type="list" allowBlank="1" showInputMessage="1" showErrorMessage="1" sqref="C252:C659" xr:uid="{595CB0B1-EFC0-4564-A502-1429222A9473}">
      <formula1>Compadjust</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0E321-D32A-4F52-A6B8-43D788D283D1}">
  <dimension ref="A1:N662"/>
  <sheetViews>
    <sheetView showGridLines="0" zoomScale="85" zoomScaleNormal="85" workbookViewId="0">
      <selection activeCell="D6" sqref="D6"/>
    </sheetView>
  </sheetViews>
  <sheetFormatPr defaultColWidth="11.56640625" defaultRowHeight="10.5" x14ac:dyDescent="0.2"/>
  <cols>
    <col min="1" max="1" width="3.62890625" style="17" bestFit="1" customWidth="1"/>
    <col min="2" max="2" width="31.34375" style="13" customWidth="1"/>
    <col min="3" max="3" width="8.47265625" style="13" bestFit="1" customWidth="1"/>
    <col min="4" max="4" width="1.34375" style="13" customWidth="1"/>
    <col min="5" max="5" width="18.0234375" style="13" bestFit="1" customWidth="1"/>
    <col min="6" max="6" width="15.6015625" style="10" bestFit="1" customWidth="1"/>
    <col min="7" max="7" width="18.0234375" style="13" bestFit="1" customWidth="1"/>
    <col min="8" max="8" width="0.94140625" style="13" customWidth="1"/>
    <col min="9" max="9" width="18.0234375" style="13" bestFit="1" customWidth="1"/>
    <col min="10" max="10" width="10.4921875" style="13" bestFit="1" customWidth="1"/>
    <col min="11" max="11" width="18.0234375" style="13" bestFit="1" customWidth="1"/>
    <col min="12" max="12" width="0.94140625" style="13" customWidth="1"/>
    <col min="13" max="13" width="16.94921875" style="13" bestFit="1" customWidth="1"/>
    <col min="14" max="14" width="12.9140625" style="10" customWidth="1"/>
    <col min="15" max="16384" width="11.56640625" style="13"/>
  </cols>
  <sheetData>
    <row r="1" spans="1:14" ht="19.5" x14ac:dyDescent="0.1">
      <c r="B1" s="12" t="s">
        <v>3380</v>
      </c>
      <c r="C1" s="12"/>
      <c r="E1" s="14" t="s">
        <v>36</v>
      </c>
      <c r="F1" s="12" t="s">
        <v>3381</v>
      </c>
      <c r="G1" s="15">
        <v>417018660</v>
      </c>
      <c r="J1" s="12" t="s">
        <v>3382</v>
      </c>
      <c r="K1" s="16">
        <v>2021</v>
      </c>
    </row>
    <row r="2" spans="1:14" x14ac:dyDescent="0.2">
      <c r="B2" s="15"/>
      <c r="C2" s="15"/>
      <c r="F2" s="13"/>
      <c r="J2" s="21"/>
      <c r="M2" s="22"/>
    </row>
    <row r="3" spans="1:14" ht="13.5" customHeight="1" x14ac:dyDescent="0.2">
      <c r="B3" s="427" t="s">
        <v>3383</v>
      </c>
      <c r="C3" s="427" t="s">
        <v>3384</v>
      </c>
      <c r="E3" s="425" t="s">
        <v>3385</v>
      </c>
      <c r="F3" s="426"/>
      <c r="G3" s="427"/>
      <c r="I3" s="425" t="s">
        <v>3386</v>
      </c>
      <c r="J3" s="426"/>
      <c r="K3" s="427"/>
      <c r="M3" s="426" t="s">
        <v>3387</v>
      </c>
    </row>
    <row r="4" spans="1:14" ht="11.25" thickBot="1" x14ac:dyDescent="0.25">
      <c r="B4" s="430"/>
      <c r="C4" s="430"/>
      <c r="E4" s="18" t="s">
        <v>3388</v>
      </c>
      <c r="F4" s="19" t="s">
        <v>3389</v>
      </c>
      <c r="G4" s="27" t="s">
        <v>3390</v>
      </c>
      <c r="I4" s="18" t="s">
        <v>3388</v>
      </c>
      <c r="J4" s="19" t="s">
        <v>3389</v>
      </c>
      <c r="K4" s="27" t="s">
        <v>3390</v>
      </c>
      <c r="M4" s="428"/>
    </row>
    <row r="5" spans="1:14" ht="12.75" customHeight="1" x14ac:dyDescent="0.2">
      <c r="B5" s="193" t="s">
        <v>3395</v>
      </c>
      <c r="C5" s="24"/>
      <c r="E5" s="185">
        <f>SUM(E6:E6)</f>
        <v>1345724141</v>
      </c>
      <c r="F5" s="185">
        <f>SUM(F6:F6)</f>
        <v>0</v>
      </c>
      <c r="G5" s="185">
        <f>SUM(G6:G6)</f>
        <v>1345724141</v>
      </c>
      <c r="H5" s="183"/>
      <c r="I5" s="185">
        <f>SUM(I6:I6)</f>
        <v>814439518</v>
      </c>
      <c r="J5" s="185">
        <f>SUM(J6:J6)</f>
        <v>0</v>
      </c>
      <c r="K5" s="185">
        <f>SUM(K6:K6)</f>
        <v>814439518</v>
      </c>
      <c r="M5" s="185">
        <f>G5-K5</f>
        <v>531284623</v>
      </c>
      <c r="N5" s="28"/>
    </row>
    <row r="6" spans="1:14" x14ac:dyDescent="0.2">
      <c r="A6" s="17" t="s">
        <v>3396</v>
      </c>
      <c r="B6" s="17" t="s">
        <v>3397</v>
      </c>
      <c r="C6" s="17" t="s">
        <v>3398</v>
      </c>
      <c r="E6" s="184">
        <v>1345724141</v>
      </c>
      <c r="F6" s="184">
        <v>0</v>
      </c>
      <c r="G6" s="184">
        <v>1345724141</v>
      </c>
      <c r="H6" s="183"/>
      <c r="I6" s="184">
        <v>814439518</v>
      </c>
      <c r="J6" s="184">
        <v>0</v>
      </c>
      <c r="K6" s="184">
        <v>814439518</v>
      </c>
      <c r="M6" s="184">
        <f>G6-K6</f>
        <v>531284623</v>
      </c>
      <c r="N6" s="28"/>
    </row>
    <row r="7" spans="1:14" x14ac:dyDescent="0.2">
      <c r="B7" s="33" t="s">
        <v>3399</v>
      </c>
      <c r="C7" s="33"/>
      <c r="E7" s="186">
        <f>E5</f>
        <v>1345724141</v>
      </c>
      <c r="F7" s="186">
        <f t="shared" ref="F7:G7" si="0">F5</f>
        <v>0</v>
      </c>
      <c r="G7" s="186">
        <f t="shared" si="0"/>
        <v>1345724141</v>
      </c>
      <c r="H7" s="187"/>
      <c r="I7" s="186">
        <f t="shared" ref="I7:K7" si="1">I5</f>
        <v>814439518</v>
      </c>
      <c r="J7" s="186">
        <f t="shared" si="1"/>
        <v>0</v>
      </c>
      <c r="K7" s="186">
        <f t="shared" si="1"/>
        <v>814439518</v>
      </c>
      <c r="L7" s="21"/>
      <c r="M7" s="186">
        <f t="shared" ref="M7" si="2">M5</f>
        <v>531284623</v>
      </c>
    </row>
    <row r="8" spans="1:14" x14ac:dyDescent="0.2">
      <c r="B8" s="15"/>
      <c r="C8" s="15"/>
      <c r="F8" s="32"/>
      <c r="G8" s="32"/>
      <c r="I8" s="32"/>
      <c r="J8" s="32"/>
      <c r="K8" s="32"/>
      <c r="M8" s="32"/>
    </row>
    <row r="9" spans="1:14" x14ac:dyDescent="0.1">
      <c r="E9" s="30"/>
      <c r="F9" s="42"/>
      <c r="G9" s="50"/>
      <c r="J9" s="17"/>
      <c r="K9" s="17"/>
      <c r="M9" s="47"/>
      <c r="N9" s="45"/>
    </row>
    <row r="10" spans="1:14" x14ac:dyDescent="0.1">
      <c r="E10" s="30"/>
      <c r="F10" s="42"/>
      <c r="G10" s="50"/>
      <c r="J10" s="17"/>
      <c r="K10" s="17"/>
      <c r="N10" s="45"/>
    </row>
    <row r="11" spans="1:14" x14ac:dyDescent="0.1">
      <c r="E11" s="30"/>
      <c r="F11" s="42"/>
      <c r="G11" s="50"/>
      <c r="J11" s="17"/>
      <c r="K11" s="17"/>
      <c r="N11" s="51"/>
    </row>
    <row r="12" spans="1:14" x14ac:dyDescent="0.1">
      <c r="E12" s="30"/>
      <c r="F12" s="42"/>
      <c r="G12" s="50"/>
      <c r="J12" s="17"/>
      <c r="K12" s="17"/>
      <c r="N12" s="51"/>
    </row>
    <row r="13" spans="1:14" x14ac:dyDescent="0.1">
      <c r="E13" s="30"/>
      <c r="F13" s="42"/>
      <c r="G13" s="50"/>
      <c r="J13" s="17"/>
      <c r="K13" s="17"/>
      <c r="N13" s="51"/>
    </row>
    <row r="14" spans="1:14" x14ac:dyDescent="0.1">
      <c r="E14" s="30"/>
      <c r="F14" s="42"/>
      <c r="G14" s="50"/>
      <c r="J14" s="17"/>
      <c r="K14" s="17"/>
      <c r="N14" s="51"/>
    </row>
    <row r="15" spans="1:14" x14ac:dyDescent="0.1">
      <c r="E15" s="30"/>
      <c r="F15" s="42"/>
      <c r="G15" s="50"/>
      <c r="J15" s="17"/>
      <c r="K15" s="17"/>
      <c r="N15" s="51"/>
    </row>
    <row r="16" spans="1:14" x14ac:dyDescent="0.1">
      <c r="E16" s="30"/>
      <c r="F16" s="42"/>
      <c r="G16" s="50"/>
      <c r="J16" s="17"/>
      <c r="K16" s="17"/>
      <c r="N16" s="51"/>
    </row>
    <row r="17" spans="5:14" x14ac:dyDescent="0.1">
      <c r="E17" s="30"/>
      <c r="F17" s="42"/>
      <c r="G17" s="50"/>
      <c r="J17" s="17"/>
      <c r="K17" s="17"/>
      <c r="N17" s="51"/>
    </row>
    <row r="18" spans="5:14" x14ac:dyDescent="0.1">
      <c r="E18" s="30"/>
      <c r="F18" s="42"/>
      <c r="G18" s="52"/>
      <c r="J18" s="17"/>
      <c r="K18" s="17"/>
      <c r="N18" s="51"/>
    </row>
    <row r="19" spans="5:14" x14ac:dyDescent="0.1">
      <c r="E19" s="30"/>
      <c r="F19" s="42"/>
      <c r="G19" s="52"/>
      <c r="J19" s="17"/>
      <c r="K19" s="17"/>
      <c r="N19" s="51"/>
    </row>
    <row r="20" spans="5:14" x14ac:dyDescent="0.1">
      <c r="E20" s="30"/>
      <c r="F20" s="42"/>
      <c r="G20" s="52"/>
      <c r="J20" s="17"/>
      <c r="K20" s="17"/>
      <c r="N20" s="51"/>
    </row>
    <row r="21" spans="5:14" x14ac:dyDescent="0.1">
      <c r="E21" s="30"/>
      <c r="F21" s="42"/>
      <c r="G21" s="52"/>
      <c r="J21" s="17"/>
      <c r="K21" s="17"/>
      <c r="N21" s="51"/>
    </row>
    <row r="22" spans="5:14" x14ac:dyDescent="0.1">
      <c r="E22" s="30"/>
      <c r="F22" s="42"/>
      <c r="G22" s="52"/>
      <c r="J22" s="17"/>
      <c r="K22" s="17"/>
      <c r="N22" s="51"/>
    </row>
    <row r="23" spans="5:14" x14ac:dyDescent="0.1">
      <c r="E23" s="30"/>
      <c r="F23" s="42"/>
      <c r="G23" s="52"/>
      <c r="J23" s="17"/>
      <c r="K23" s="17"/>
      <c r="N23" s="51"/>
    </row>
    <row r="24" spans="5:14" x14ac:dyDescent="0.1">
      <c r="E24" s="30"/>
      <c r="F24" s="42"/>
      <c r="G24" s="52"/>
      <c r="J24" s="17"/>
      <c r="K24" s="17"/>
      <c r="N24" s="51"/>
    </row>
    <row r="25" spans="5:14" x14ac:dyDescent="0.1">
      <c r="E25" s="30"/>
      <c r="F25" s="42"/>
      <c r="G25" s="52"/>
      <c r="J25" s="17"/>
      <c r="K25" s="17"/>
      <c r="N25" s="51"/>
    </row>
    <row r="26" spans="5:14" x14ac:dyDescent="0.1">
      <c r="E26" s="30"/>
      <c r="F26" s="42"/>
      <c r="G26" s="52"/>
      <c r="J26" s="17"/>
      <c r="K26" s="17"/>
      <c r="N26" s="51"/>
    </row>
    <row r="27" spans="5:14" x14ac:dyDescent="0.1">
      <c r="E27" s="30"/>
      <c r="F27" s="42"/>
      <c r="G27" s="52"/>
      <c r="J27" s="17"/>
      <c r="K27" s="17"/>
      <c r="N27" s="51"/>
    </row>
    <row r="28" spans="5:14" x14ac:dyDescent="0.1">
      <c r="E28" s="30"/>
      <c r="F28" s="42"/>
      <c r="G28" s="52"/>
      <c r="J28" s="17"/>
      <c r="K28" s="17"/>
      <c r="N28" s="51"/>
    </row>
    <row r="29" spans="5:14" x14ac:dyDescent="0.1">
      <c r="E29" s="30"/>
      <c r="F29" s="42"/>
      <c r="G29" s="52"/>
      <c r="J29" s="17"/>
      <c r="K29" s="17"/>
      <c r="N29" s="51"/>
    </row>
    <row r="30" spans="5:14" x14ac:dyDescent="0.1">
      <c r="E30" s="30"/>
      <c r="F30" s="42"/>
      <c r="G30" s="52"/>
      <c r="J30" s="17"/>
      <c r="K30" s="17"/>
      <c r="N30" s="51"/>
    </row>
    <row r="31" spans="5:14" x14ac:dyDescent="0.1">
      <c r="E31" s="30"/>
      <c r="F31" s="42"/>
      <c r="G31" s="52"/>
      <c r="J31" s="17"/>
      <c r="K31" s="17"/>
      <c r="N31" s="51"/>
    </row>
    <row r="32" spans="5:14" x14ac:dyDescent="0.1">
      <c r="E32" s="30"/>
      <c r="F32" s="42"/>
      <c r="G32" s="52"/>
      <c r="J32" s="17"/>
      <c r="K32" s="17"/>
      <c r="N32" s="51"/>
    </row>
    <row r="33" spans="5:14" x14ac:dyDescent="0.1">
      <c r="E33" s="30"/>
      <c r="F33" s="42"/>
      <c r="G33" s="52"/>
      <c r="J33" s="17"/>
      <c r="K33" s="17"/>
      <c r="N33" s="51"/>
    </row>
    <row r="34" spans="5:14" x14ac:dyDescent="0.1">
      <c r="E34" s="30"/>
      <c r="F34" s="42"/>
      <c r="G34" s="52"/>
      <c r="J34" s="17"/>
      <c r="K34" s="17"/>
      <c r="N34" s="51"/>
    </row>
    <row r="35" spans="5:14" x14ac:dyDescent="0.1">
      <c r="E35" s="30"/>
      <c r="F35" s="42"/>
      <c r="G35" s="52"/>
      <c r="J35" s="17"/>
      <c r="K35" s="17"/>
      <c r="N35" s="51"/>
    </row>
    <row r="36" spans="5:14" x14ac:dyDescent="0.1">
      <c r="E36" s="30"/>
      <c r="F36" s="42"/>
      <c r="G36" s="52"/>
      <c r="J36" s="17"/>
      <c r="K36" s="17"/>
      <c r="N36" s="51"/>
    </row>
    <row r="37" spans="5:14" x14ac:dyDescent="0.1">
      <c r="E37" s="30"/>
      <c r="F37" s="42"/>
      <c r="G37" s="52"/>
      <c r="J37" s="17"/>
      <c r="K37" s="17"/>
      <c r="N37" s="51"/>
    </row>
    <row r="38" spans="5:14" x14ac:dyDescent="0.1">
      <c r="E38" s="30"/>
      <c r="F38" s="42"/>
      <c r="G38" s="52"/>
      <c r="J38" s="17"/>
      <c r="K38" s="17"/>
      <c r="N38" s="51"/>
    </row>
    <row r="39" spans="5:14" x14ac:dyDescent="0.1">
      <c r="E39" s="30"/>
      <c r="F39" s="42"/>
      <c r="G39" s="52"/>
      <c r="J39" s="17"/>
      <c r="K39" s="17"/>
      <c r="N39" s="51"/>
    </row>
    <row r="40" spans="5:14" x14ac:dyDescent="0.1">
      <c r="E40" s="30"/>
      <c r="F40" s="42"/>
      <c r="G40" s="52"/>
      <c r="J40" s="17"/>
      <c r="K40" s="17"/>
      <c r="N40" s="51"/>
    </row>
    <row r="41" spans="5:14" x14ac:dyDescent="0.1">
      <c r="E41" s="30"/>
      <c r="F41" s="42"/>
      <c r="G41" s="52"/>
      <c r="J41" s="17"/>
      <c r="K41" s="17"/>
      <c r="N41" s="51"/>
    </row>
    <row r="42" spans="5:14" x14ac:dyDescent="0.1">
      <c r="E42" s="30"/>
      <c r="F42" s="42"/>
      <c r="G42" s="52"/>
      <c r="J42" s="17"/>
      <c r="K42" s="17"/>
      <c r="N42" s="45"/>
    </row>
    <row r="43" spans="5:14" x14ac:dyDescent="0.1">
      <c r="E43" s="30"/>
      <c r="F43" s="42"/>
      <c r="G43" s="52"/>
      <c r="J43" s="17"/>
      <c r="K43" s="17"/>
      <c r="N43" s="45"/>
    </row>
    <row r="44" spans="5:14" x14ac:dyDescent="0.1">
      <c r="E44" s="30"/>
      <c r="F44" s="42"/>
      <c r="G44" s="52"/>
      <c r="J44" s="17"/>
      <c r="K44" s="17"/>
      <c r="N44" s="45"/>
    </row>
    <row r="45" spans="5:14" x14ac:dyDescent="0.1">
      <c r="E45" s="30"/>
      <c r="F45" s="42"/>
      <c r="G45" s="52"/>
      <c r="J45" s="17"/>
      <c r="K45" s="17"/>
      <c r="N45" s="45"/>
    </row>
    <row r="46" spans="5:14" x14ac:dyDescent="0.1">
      <c r="E46" s="30"/>
      <c r="F46" s="42"/>
      <c r="G46" s="52"/>
      <c r="J46" s="17"/>
      <c r="K46" s="17"/>
      <c r="N46" s="45"/>
    </row>
    <row r="47" spans="5:14" x14ac:dyDescent="0.1">
      <c r="E47" s="30"/>
      <c r="F47" s="42"/>
      <c r="G47" s="52"/>
      <c r="J47" s="17"/>
      <c r="K47" s="17"/>
      <c r="N47" s="45"/>
    </row>
    <row r="48" spans="5:14" x14ac:dyDescent="0.1">
      <c r="E48" s="30"/>
      <c r="F48" s="42"/>
      <c r="G48" s="52"/>
      <c r="J48" s="17"/>
      <c r="K48" s="17"/>
      <c r="N48" s="45"/>
    </row>
    <row r="49" spans="5:14" x14ac:dyDescent="0.1">
      <c r="E49" s="30"/>
      <c r="F49" s="42"/>
      <c r="G49" s="52"/>
      <c r="J49" s="17"/>
      <c r="K49" s="17"/>
      <c r="N49" s="45"/>
    </row>
    <row r="50" spans="5:14" x14ac:dyDescent="0.1">
      <c r="E50" s="30"/>
      <c r="F50" s="42"/>
      <c r="G50" s="52"/>
      <c r="J50" s="17"/>
      <c r="K50" s="17"/>
      <c r="N50" s="45"/>
    </row>
    <row r="51" spans="5:14" x14ac:dyDescent="0.1">
      <c r="E51" s="30"/>
      <c r="F51" s="42"/>
      <c r="G51" s="52"/>
      <c r="J51" s="17"/>
      <c r="K51" s="17"/>
      <c r="N51" s="45"/>
    </row>
    <row r="52" spans="5:14" x14ac:dyDescent="0.1">
      <c r="E52" s="30"/>
      <c r="F52" s="42"/>
      <c r="G52" s="52"/>
      <c r="J52" s="17"/>
      <c r="K52" s="17"/>
      <c r="N52" s="45"/>
    </row>
    <row r="53" spans="5:14" x14ac:dyDescent="0.1">
      <c r="E53" s="30"/>
      <c r="F53" s="42"/>
      <c r="G53" s="52"/>
      <c r="J53" s="17"/>
      <c r="K53" s="17"/>
      <c r="N53" s="45"/>
    </row>
    <row r="54" spans="5:14" x14ac:dyDescent="0.1">
      <c r="E54" s="30"/>
      <c r="F54" s="42"/>
      <c r="G54" s="52"/>
      <c r="J54" s="17"/>
      <c r="K54" s="17"/>
      <c r="N54" s="45"/>
    </row>
    <row r="55" spans="5:14" x14ac:dyDescent="0.1">
      <c r="E55" s="30"/>
      <c r="F55" s="42"/>
      <c r="G55" s="52"/>
      <c r="J55" s="17"/>
      <c r="K55" s="17"/>
      <c r="N55" s="45"/>
    </row>
    <row r="56" spans="5:14" x14ac:dyDescent="0.1">
      <c r="E56" s="30"/>
      <c r="F56" s="42"/>
      <c r="G56" s="52"/>
      <c r="J56" s="17"/>
      <c r="K56" s="17"/>
      <c r="N56" s="45"/>
    </row>
    <row r="57" spans="5:14" x14ac:dyDescent="0.1">
      <c r="E57" s="30"/>
      <c r="F57" s="42"/>
      <c r="G57" s="52"/>
      <c r="J57" s="17"/>
      <c r="K57" s="17"/>
      <c r="N57" s="45"/>
    </row>
    <row r="58" spans="5:14" x14ac:dyDescent="0.1">
      <c r="E58" s="30"/>
      <c r="F58" s="42"/>
      <c r="G58" s="52"/>
      <c r="J58" s="17"/>
      <c r="K58" s="17"/>
      <c r="N58" s="45"/>
    </row>
    <row r="59" spans="5:14" x14ac:dyDescent="0.1">
      <c r="E59" s="30"/>
      <c r="F59" s="42"/>
      <c r="G59" s="52"/>
      <c r="J59" s="17"/>
      <c r="K59" s="17"/>
      <c r="N59" s="45"/>
    </row>
    <row r="60" spans="5:14" x14ac:dyDescent="0.1">
      <c r="E60" s="30"/>
      <c r="F60" s="42"/>
      <c r="G60" s="52"/>
      <c r="J60" s="17"/>
      <c r="K60" s="17"/>
      <c r="N60" s="45"/>
    </row>
    <row r="61" spans="5:14" x14ac:dyDescent="0.1">
      <c r="E61" s="30"/>
      <c r="F61" s="42"/>
      <c r="G61" s="52"/>
      <c r="J61" s="17"/>
      <c r="K61" s="17"/>
      <c r="N61" s="45"/>
    </row>
    <row r="62" spans="5:14" x14ac:dyDescent="0.1">
      <c r="E62" s="30"/>
      <c r="F62" s="42"/>
      <c r="G62" s="52"/>
      <c r="J62" s="17"/>
      <c r="K62" s="17"/>
      <c r="N62" s="45"/>
    </row>
    <row r="63" spans="5:14" x14ac:dyDescent="0.1">
      <c r="E63" s="30"/>
      <c r="F63" s="42"/>
      <c r="G63" s="52"/>
      <c r="J63" s="17"/>
      <c r="K63" s="17"/>
      <c r="N63" s="45"/>
    </row>
    <row r="64" spans="5:14" x14ac:dyDescent="0.1">
      <c r="E64" s="30"/>
      <c r="F64" s="42"/>
      <c r="G64" s="52"/>
      <c r="J64" s="17"/>
      <c r="K64" s="17"/>
      <c r="N64" s="45"/>
    </row>
    <row r="65" spans="5:14" x14ac:dyDescent="0.1">
      <c r="E65" s="30"/>
      <c r="F65" s="42"/>
      <c r="G65" s="52"/>
      <c r="J65" s="17"/>
      <c r="K65" s="17"/>
      <c r="N65" s="45"/>
    </row>
    <row r="66" spans="5:14" x14ac:dyDescent="0.1">
      <c r="E66" s="30"/>
      <c r="F66" s="42"/>
      <c r="G66" s="52"/>
      <c r="J66" s="17"/>
      <c r="K66" s="17"/>
      <c r="N66" s="45"/>
    </row>
    <row r="67" spans="5:14" x14ac:dyDescent="0.1">
      <c r="E67" s="30"/>
      <c r="F67" s="42"/>
      <c r="G67" s="52"/>
      <c r="J67" s="17"/>
      <c r="K67" s="17"/>
      <c r="N67" s="45"/>
    </row>
    <row r="68" spans="5:14" x14ac:dyDescent="0.1">
      <c r="E68" s="30"/>
      <c r="F68" s="42"/>
      <c r="G68" s="52"/>
      <c r="J68" s="17"/>
      <c r="K68" s="17"/>
      <c r="N68" s="45"/>
    </row>
    <row r="69" spans="5:14" x14ac:dyDescent="0.1">
      <c r="E69" s="30"/>
      <c r="F69" s="42"/>
      <c r="G69" s="52"/>
      <c r="J69" s="17"/>
      <c r="K69" s="17"/>
      <c r="N69" s="45"/>
    </row>
    <row r="70" spans="5:14" x14ac:dyDescent="0.1">
      <c r="E70" s="30"/>
      <c r="F70" s="42"/>
      <c r="G70" s="52"/>
      <c r="J70" s="17"/>
      <c r="K70" s="17"/>
      <c r="N70" s="45"/>
    </row>
    <row r="71" spans="5:14" x14ac:dyDescent="0.1">
      <c r="E71" s="30"/>
      <c r="F71" s="42"/>
      <c r="G71" s="52"/>
      <c r="J71" s="17"/>
      <c r="K71" s="17"/>
      <c r="N71" s="45"/>
    </row>
    <row r="72" spans="5:14" x14ac:dyDescent="0.1">
      <c r="E72" s="30"/>
      <c r="F72" s="42"/>
      <c r="G72" s="52"/>
      <c r="J72" s="17"/>
      <c r="K72" s="17"/>
      <c r="N72" s="45"/>
    </row>
    <row r="73" spans="5:14" x14ac:dyDescent="0.1">
      <c r="E73" s="30"/>
      <c r="F73" s="42"/>
      <c r="G73" s="52"/>
      <c r="J73" s="17"/>
      <c r="K73" s="17"/>
      <c r="N73" s="45"/>
    </row>
    <row r="74" spans="5:14" x14ac:dyDescent="0.1">
      <c r="E74" s="30"/>
      <c r="F74" s="42"/>
      <c r="G74" s="52"/>
      <c r="J74" s="17"/>
      <c r="K74" s="17"/>
      <c r="N74" s="45"/>
    </row>
    <row r="75" spans="5:14" x14ac:dyDescent="0.1">
      <c r="E75" s="30"/>
      <c r="F75" s="42"/>
      <c r="G75" s="52"/>
      <c r="J75" s="17"/>
      <c r="K75" s="17"/>
      <c r="N75" s="45"/>
    </row>
    <row r="76" spans="5:14" x14ac:dyDescent="0.1">
      <c r="E76" s="30"/>
      <c r="F76" s="42"/>
      <c r="G76" s="52"/>
      <c r="J76" s="17"/>
      <c r="K76" s="17"/>
      <c r="N76" s="45"/>
    </row>
    <row r="77" spans="5:14" x14ac:dyDescent="0.1">
      <c r="E77" s="30"/>
      <c r="F77" s="42"/>
      <c r="G77" s="52"/>
      <c r="J77" s="17"/>
      <c r="K77" s="17"/>
      <c r="N77" s="45"/>
    </row>
    <row r="78" spans="5:14" x14ac:dyDescent="0.1">
      <c r="E78" s="30"/>
      <c r="F78" s="42"/>
      <c r="G78" s="52"/>
      <c r="J78" s="17"/>
      <c r="K78" s="17"/>
      <c r="N78" s="45"/>
    </row>
    <row r="79" spans="5:14" x14ac:dyDescent="0.1">
      <c r="E79" s="30"/>
      <c r="F79" s="42"/>
      <c r="G79" s="52"/>
      <c r="J79" s="17"/>
      <c r="K79" s="17"/>
      <c r="N79" s="45"/>
    </row>
    <row r="80" spans="5:14" x14ac:dyDescent="0.1">
      <c r="E80" s="30"/>
      <c r="F80" s="42"/>
      <c r="G80" s="52"/>
      <c r="J80" s="17"/>
      <c r="K80" s="17"/>
      <c r="N80" s="45"/>
    </row>
    <row r="81" spans="5:14" x14ac:dyDescent="0.1">
      <c r="E81" s="30"/>
      <c r="F81" s="42"/>
      <c r="G81" s="52"/>
      <c r="J81" s="17"/>
      <c r="K81" s="17"/>
      <c r="N81" s="45"/>
    </row>
    <row r="82" spans="5:14" x14ac:dyDescent="0.1">
      <c r="E82" s="30"/>
      <c r="F82" s="42"/>
      <c r="G82" s="52"/>
      <c r="J82" s="17"/>
      <c r="K82" s="17"/>
      <c r="N82" s="45"/>
    </row>
    <row r="83" spans="5:14" x14ac:dyDescent="0.1">
      <c r="E83" s="30"/>
      <c r="F83" s="42"/>
      <c r="G83" s="52"/>
      <c r="J83" s="17"/>
      <c r="K83" s="17"/>
      <c r="N83" s="45"/>
    </row>
    <row r="84" spans="5:14" x14ac:dyDescent="0.1">
      <c r="E84" s="30"/>
      <c r="F84" s="42"/>
      <c r="G84" s="52"/>
      <c r="J84" s="17"/>
      <c r="K84" s="17"/>
      <c r="N84" s="45"/>
    </row>
    <row r="85" spans="5:14" x14ac:dyDescent="0.1">
      <c r="E85" s="30"/>
      <c r="F85" s="42"/>
      <c r="G85" s="52"/>
      <c r="J85" s="17"/>
      <c r="K85" s="17"/>
      <c r="N85" s="45"/>
    </row>
    <row r="86" spans="5:14" x14ac:dyDescent="0.1">
      <c r="E86" s="30"/>
      <c r="F86" s="42"/>
      <c r="G86" s="52"/>
      <c r="J86" s="17"/>
      <c r="K86" s="17"/>
      <c r="N86" s="45"/>
    </row>
    <row r="87" spans="5:14" x14ac:dyDescent="0.1">
      <c r="E87" s="30"/>
      <c r="F87" s="42"/>
      <c r="G87" s="52"/>
      <c r="J87" s="17"/>
      <c r="K87" s="17"/>
      <c r="N87" s="45"/>
    </row>
    <row r="88" spans="5:14" x14ac:dyDescent="0.1">
      <c r="E88" s="30"/>
      <c r="F88" s="42"/>
      <c r="G88" s="52"/>
      <c r="J88" s="17"/>
      <c r="K88" s="17"/>
      <c r="N88" s="45"/>
    </row>
    <row r="89" spans="5:14" x14ac:dyDescent="0.1">
      <c r="E89" s="30"/>
      <c r="F89" s="42"/>
      <c r="G89" s="52"/>
      <c r="J89" s="17"/>
      <c r="K89" s="17"/>
      <c r="N89" s="45"/>
    </row>
    <row r="90" spans="5:14" x14ac:dyDescent="0.1">
      <c r="E90" s="30"/>
      <c r="F90" s="42"/>
      <c r="G90" s="52"/>
      <c r="J90" s="17"/>
      <c r="K90" s="17"/>
      <c r="N90" s="45"/>
    </row>
    <row r="91" spans="5:14" x14ac:dyDescent="0.1">
      <c r="E91" s="30"/>
      <c r="F91" s="42"/>
      <c r="G91" s="52"/>
      <c r="J91" s="17"/>
      <c r="K91" s="17"/>
      <c r="N91" s="45"/>
    </row>
    <row r="92" spans="5:14" x14ac:dyDescent="0.1">
      <c r="E92" s="30"/>
      <c r="F92" s="42"/>
      <c r="G92" s="52"/>
      <c r="J92" s="17"/>
      <c r="K92" s="17"/>
      <c r="N92" s="45"/>
    </row>
    <row r="93" spans="5:14" x14ac:dyDescent="0.1">
      <c r="E93" s="30"/>
      <c r="F93" s="42"/>
      <c r="G93" s="52"/>
      <c r="J93" s="17"/>
      <c r="K93" s="17"/>
      <c r="N93" s="45"/>
    </row>
    <row r="94" spans="5:14" x14ac:dyDescent="0.1">
      <c r="E94" s="30"/>
      <c r="F94" s="42"/>
      <c r="G94" s="52"/>
      <c r="J94" s="17"/>
      <c r="K94" s="17"/>
      <c r="N94" s="45"/>
    </row>
    <row r="95" spans="5:14" x14ac:dyDescent="0.1">
      <c r="E95" s="30"/>
      <c r="F95" s="42"/>
      <c r="G95" s="52"/>
      <c r="J95" s="17"/>
      <c r="K95" s="17"/>
      <c r="N95" s="45"/>
    </row>
    <row r="96" spans="5:14" x14ac:dyDescent="0.1">
      <c r="E96" s="30"/>
      <c r="F96" s="42"/>
      <c r="G96" s="52"/>
      <c r="J96" s="17"/>
      <c r="K96" s="17"/>
      <c r="N96" s="45"/>
    </row>
    <row r="97" spans="5:14" x14ac:dyDescent="0.1">
      <c r="E97" s="30"/>
      <c r="F97" s="42"/>
      <c r="G97" s="52"/>
      <c r="J97" s="17"/>
      <c r="K97" s="17"/>
      <c r="N97" s="45"/>
    </row>
    <row r="98" spans="5:14" x14ac:dyDescent="0.2">
      <c r="E98" s="10"/>
      <c r="F98" s="53"/>
      <c r="G98" s="35"/>
      <c r="J98" s="17"/>
      <c r="K98" s="17"/>
      <c r="N98" s="45"/>
    </row>
    <row r="99" spans="5:14" x14ac:dyDescent="0.2">
      <c r="E99" s="10"/>
      <c r="F99" s="53"/>
      <c r="G99" s="35"/>
      <c r="J99" s="17"/>
      <c r="K99" s="17"/>
      <c r="N99" s="45"/>
    </row>
    <row r="100" spans="5:14" x14ac:dyDescent="0.2">
      <c r="E100" s="10"/>
      <c r="F100" s="53"/>
      <c r="G100" s="35"/>
      <c r="J100" s="17"/>
      <c r="K100" s="17"/>
      <c r="N100" s="45"/>
    </row>
    <row r="101" spans="5:14" x14ac:dyDescent="0.2">
      <c r="E101" s="10"/>
      <c r="F101" s="53"/>
      <c r="G101" s="35"/>
      <c r="J101" s="17"/>
      <c r="K101" s="17"/>
      <c r="N101" s="45"/>
    </row>
    <row r="102" spans="5:14" x14ac:dyDescent="0.2">
      <c r="E102" s="10"/>
      <c r="F102" s="53"/>
      <c r="G102" s="35"/>
      <c r="J102" s="17"/>
      <c r="K102" s="17"/>
      <c r="N102" s="45"/>
    </row>
    <row r="103" spans="5:14" x14ac:dyDescent="0.2">
      <c r="E103" s="10"/>
      <c r="F103" s="53"/>
      <c r="G103" s="35"/>
      <c r="J103" s="17"/>
      <c r="K103" s="17"/>
      <c r="N103" s="45"/>
    </row>
    <row r="104" spans="5:14" x14ac:dyDescent="0.2">
      <c r="E104" s="10"/>
      <c r="F104" s="53"/>
      <c r="G104" s="35"/>
      <c r="J104" s="17"/>
      <c r="K104" s="17"/>
      <c r="N104" s="45"/>
    </row>
    <row r="105" spans="5:14" x14ac:dyDescent="0.2">
      <c r="E105" s="10"/>
      <c r="F105" s="53"/>
      <c r="G105" s="35"/>
      <c r="J105" s="17"/>
      <c r="K105" s="17"/>
      <c r="N105" s="45"/>
    </row>
    <row r="106" spans="5:14" x14ac:dyDescent="0.2">
      <c r="E106" s="10"/>
      <c r="F106" s="53"/>
      <c r="G106" s="35"/>
      <c r="J106" s="17"/>
      <c r="K106" s="17"/>
      <c r="N106" s="45"/>
    </row>
    <row r="107" spans="5:14" x14ac:dyDescent="0.2">
      <c r="E107" s="10"/>
      <c r="F107" s="53"/>
      <c r="G107" s="35"/>
      <c r="J107" s="17"/>
      <c r="K107" s="17"/>
      <c r="N107" s="45"/>
    </row>
    <row r="108" spans="5:14" x14ac:dyDescent="0.2">
      <c r="E108" s="10"/>
      <c r="F108" s="53"/>
      <c r="G108" s="35"/>
      <c r="J108" s="17"/>
      <c r="K108" s="17"/>
      <c r="N108" s="45"/>
    </row>
    <row r="109" spans="5:14" x14ac:dyDescent="0.2">
      <c r="E109" s="10"/>
      <c r="F109" s="53"/>
      <c r="G109" s="35"/>
      <c r="J109" s="17"/>
      <c r="K109" s="17"/>
      <c r="N109" s="45"/>
    </row>
    <row r="110" spans="5:14" x14ac:dyDescent="0.2">
      <c r="E110" s="10"/>
      <c r="F110" s="53"/>
      <c r="G110" s="35"/>
      <c r="J110" s="17"/>
      <c r="K110" s="17"/>
      <c r="N110" s="45"/>
    </row>
    <row r="111" spans="5:14" x14ac:dyDescent="0.2">
      <c r="E111" s="10"/>
      <c r="F111" s="53"/>
      <c r="G111" s="35"/>
      <c r="J111" s="17"/>
      <c r="K111" s="17"/>
      <c r="N111" s="45"/>
    </row>
    <row r="112" spans="5:14" x14ac:dyDescent="0.2">
      <c r="E112" s="10"/>
      <c r="F112" s="53"/>
      <c r="G112" s="35"/>
      <c r="J112" s="17"/>
      <c r="K112" s="17"/>
      <c r="N112" s="45"/>
    </row>
    <row r="113" spans="5:14" x14ac:dyDescent="0.2">
      <c r="E113" s="10"/>
      <c r="F113" s="53"/>
      <c r="G113" s="35"/>
      <c r="J113" s="17"/>
      <c r="K113" s="17"/>
      <c r="N113" s="45"/>
    </row>
    <row r="114" spans="5:14" x14ac:dyDescent="0.2">
      <c r="E114" s="10"/>
      <c r="F114" s="53"/>
      <c r="G114" s="35"/>
      <c r="J114" s="17"/>
      <c r="K114" s="17"/>
      <c r="N114" s="45"/>
    </row>
    <row r="115" spans="5:14" x14ac:dyDescent="0.2">
      <c r="E115" s="10"/>
      <c r="F115" s="53"/>
      <c r="G115" s="35"/>
      <c r="J115" s="17"/>
      <c r="K115" s="17"/>
      <c r="N115" s="45"/>
    </row>
    <row r="116" spans="5:14" x14ac:dyDescent="0.2">
      <c r="E116" s="10"/>
      <c r="F116" s="53"/>
      <c r="G116" s="35"/>
      <c r="J116" s="17"/>
      <c r="K116" s="17"/>
      <c r="N116" s="45"/>
    </row>
    <row r="117" spans="5:14" x14ac:dyDescent="0.2">
      <c r="E117" s="10"/>
      <c r="F117" s="53"/>
      <c r="G117" s="35"/>
      <c r="J117" s="17"/>
      <c r="K117" s="17"/>
      <c r="N117" s="45"/>
    </row>
    <row r="118" spans="5:14" x14ac:dyDescent="0.2">
      <c r="E118" s="10"/>
      <c r="F118" s="53"/>
      <c r="G118" s="35"/>
      <c r="J118" s="17"/>
      <c r="K118" s="17"/>
      <c r="N118" s="45"/>
    </row>
    <row r="119" spans="5:14" x14ac:dyDescent="0.2">
      <c r="E119" s="10"/>
      <c r="F119" s="53"/>
      <c r="G119" s="35"/>
      <c r="J119" s="17"/>
      <c r="K119" s="17"/>
      <c r="N119" s="45"/>
    </row>
    <row r="120" spans="5:14" x14ac:dyDescent="0.2">
      <c r="E120" s="10"/>
      <c r="F120" s="53"/>
      <c r="G120" s="35"/>
      <c r="J120" s="17"/>
      <c r="K120" s="17"/>
      <c r="N120" s="45"/>
    </row>
    <row r="121" spans="5:14" x14ac:dyDescent="0.2">
      <c r="E121" s="10"/>
      <c r="F121" s="53"/>
      <c r="G121" s="35"/>
      <c r="J121" s="17"/>
      <c r="K121" s="17"/>
      <c r="N121" s="45"/>
    </row>
    <row r="122" spans="5:14" x14ac:dyDescent="0.2">
      <c r="E122" s="10"/>
      <c r="F122" s="53"/>
      <c r="G122" s="35"/>
      <c r="J122" s="17"/>
      <c r="K122" s="17"/>
      <c r="N122" s="45"/>
    </row>
    <row r="123" spans="5:14" x14ac:dyDescent="0.2">
      <c r="E123" s="10"/>
      <c r="F123" s="53"/>
      <c r="G123" s="35"/>
      <c r="J123" s="17"/>
      <c r="K123" s="17"/>
      <c r="N123" s="45"/>
    </row>
    <row r="124" spans="5:14" x14ac:dyDescent="0.2">
      <c r="E124" s="10"/>
      <c r="F124" s="53"/>
      <c r="G124" s="35"/>
      <c r="J124" s="17"/>
      <c r="K124" s="17"/>
      <c r="N124" s="45"/>
    </row>
    <row r="125" spans="5:14" x14ac:dyDescent="0.2">
      <c r="E125" s="10"/>
      <c r="F125" s="53"/>
      <c r="G125" s="35"/>
      <c r="J125" s="17"/>
      <c r="K125" s="17"/>
      <c r="N125" s="45"/>
    </row>
    <row r="126" spans="5:14" x14ac:dyDescent="0.2">
      <c r="E126" s="10"/>
      <c r="F126" s="53"/>
      <c r="G126" s="35"/>
      <c r="J126" s="17"/>
      <c r="K126" s="17"/>
      <c r="N126" s="45"/>
    </row>
    <row r="127" spans="5:14" x14ac:dyDescent="0.2">
      <c r="E127" s="10"/>
      <c r="F127" s="53"/>
      <c r="G127" s="35"/>
      <c r="J127" s="17"/>
      <c r="K127" s="17"/>
      <c r="N127" s="45"/>
    </row>
    <row r="128" spans="5:14" x14ac:dyDescent="0.2">
      <c r="E128" s="10"/>
      <c r="F128" s="53"/>
      <c r="G128" s="35"/>
      <c r="J128" s="17"/>
      <c r="K128" s="17"/>
      <c r="N128" s="45"/>
    </row>
    <row r="129" spans="5:14" x14ac:dyDescent="0.2">
      <c r="E129" s="10"/>
      <c r="F129" s="53"/>
      <c r="G129" s="35"/>
      <c r="J129" s="17"/>
      <c r="K129" s="17"/>
      <c r="N129" s="45"/>
    </row>
    <row r="130" spans="5:14" x14ac:dyDescent="0.2">
      <c r="E130" s="10"/>
      <c r="F130" s="53"/>
      <c r="G130" s="35"/>
      <c r="J130" s="17"/>
      <c r="K130" s="17"/>
      <c r="N130" s="45"/>
    </row>
    <row r="131" spans="5:14" x14ac:dyDescent="0.2">
      <c r="E131" s="10"/>
      <c r="F131" s="53"/>
      <c r="G131" s="35"/>
      <c r="J131" s="17"/>
      <c r="K131" s="17"/>
      <c r="N131" s="45"/>
    </row>
    <row r="132" spans="5:14" x14ac:dyDescent="0.2">
      <c r="E132" s="10"/>
      <c r="F132" s="53"/>
      <c r="G132" s="35"/>
      <c r="J132" s="17"/>
      <c r="K132" s="17"/>
      <c r="N132" s="45"/>
    </row>
    <row r="133" spans="5:14" x14ac:dyDescent="0.2">
      <c r="E133" s="10"/>
      <c r="F133" s="53"/>
      <c r="G133" s="35"/>
      <c r="J133" s="17"/>
      <c r="K133" s="17"/>
      <c r="N133" s="45"/>
    </row>
    <row r="134" spans="5:14" x14ac:dyDescent="0.2">
      <c r="E134" s="10"/>
      <c r="F134" s="53"/>
      <c r="G134" s="35"/>
      <c r="J134" s="17"/>
      <c r="K134" s="17"/>
      <c r="N134" s="45"/>
    </row>
    <row r="135" spans="5:14" x14ac:dyDescent="0.2">
      <c r="E135" s="10"/>
      <c r="F135" s="53"/>
      <c r="G135" s="35"/>
      <c r="J135" s="17"/>
      <c r="K135" s="17"/>
      <c r="N135" s="45"/>
    </row>
    <row r="136" spans="5:14" x14ac:dyDescent="0.2">
      <c r="E136" s="10"/>
      <c r="F136" s="53"/>
      <c r="G136" s="35"/>
      <c r="J136" s="17"/>
      <c r="K136" s="17"/>
      <c r="N136" s="45"/>
    </row>
    <row r="137" spans="5:14" x14ac:dyDescent="0.2">
      <c r="E137" s="10"/>
      <c r="F137" s="53"/>
      <c r="G137" s="35"/>
      <c r="J137" s="17"/>
      <c r="K137" s="17"/>
      <c r="N137" s="45"/>
    </row>
    <row r="138" spans="5:14" x14ac:dyDescent="0.2">
      <c r="E138" s="45"/>
      <c r="F138" s="53"/>
      <c r="G138" s="35"/>
      <c r="J138" s="17"/>
      <c r="K138" s="17"/>
      <c r="N138" s="45"/>
    </row>
    <row r="139" spans="5:14" x14ac:dyDescent="0.2">
      <c r="E139" s="45"/>
      <c r="F139" s="53"/>
      <c r="G139" s="35"/>
      <c r="J139" s="17"/>
      <c r="K139" s="17"/>
      <c r="N139" s="45"/>
    </row>
    <row r="140" spans="5:14" x14ac:dyDescent="0.2">
      <c r="E140" s="10"/>
      <c r="F140" s="53"/>
      <c r="G140" s="35"/>
      <c r="J140" s="17"/>
      <c r="K140" s="17"/>
      <c r="N140" s="45"/>
    </row>
    <row r="141" spans="5:14" x14ac:dyDescent="0.2">
      <c r="E141" s="10"/>
      <c r="F141" s="53"/>
      <c r="G141" s="35"/>
      <c r="J141" s="17"/>
      <c r="K141" s="17"/>
      <c r="N141" s="45"/>
    </row>
    <row r="142" spans="5:14" x14ac:dyDescent="0.2">
      <c r="E142" s="10"/>
      <c r="F142" s="53"/>
      <c r="G142" s="35"/>
      <c r="J142" s="17"/>
      <c r="K142" s="17"/>
      <c r="N142" s="45"/>
    </row>
    <row r="143" spans="5:14" x14ac:dyDescent="0.2">
      <c r="E143" s="10"/>
      <c r="F143" s="53"/>
      <c r="G143" s="35"/>
      <c r="J143" s="17"/>
      <c r="K143" s="17"/>
      <c r="N143" s="45"/>
    </row>
    <row r="144" spans="5:14" x14ac:dyDescent="0.2">
      <c r="E144" s="10"/>
      <c r="F144" s="53"/>
      <c r="G144" s="35"/>
      <c r="J144" s="17"/>
      <c r="K144" s="17"/>
      <c r="N144" s="45"/>
    </row>
    <row r="145" spans="5:14" x14ac:dyDescent="0.2">
      <c r="E145" s="10"/>
      <c r="F145" s="53"/>
      <c r="G145" s="35"/>
      <c r="J145" s="17"/>
      <c r="K145" s="17"/>
      <c r="N145" s="45"/>
    </row>
    <row r="146" spans="5:14" x14ac:dyDescent="0.2">
      <c r="E146" s="10"/>
      <c r="F146" s="53"/>
      <c r="G146" s="35"/>
      <c r="J146" s="17"/>
      <c r="K146" s="17"/>
      <c r="N146" s="45"/>
    </row>
    <row r="147" spans="5:14" x14ac:dyDescent="0.2">
      <c r="E147" s="10"/>
      <c r="F147" s="53"/>
      <c r="G147" s="35"/>
      <c r="J147" s="17"/>
      <c r="K147" s="17"/>
      <c r="N147" s="45"/>
    </row>
    <row r="148" spans="5:14" x14ac:dyDescent="0.2">
      <c r="E148" s="10"/>
      <c r="F148" s="53"/>
      <c r="G148" s="35"/>
      <c r="J148" s="17"/>
      <c r="K148" s="17"/>
      <c r="N148" s="45"/>
    </row>
    <row r="149" spans="5:14" x14ac:dyDescent="0.2">
      <c r="E149" s="10"/>
      <c r="F149" s="53"/>
      <c r="G149" s="35"/>
      <c r="J149" s="17"/>
      <c r="K149" s="17"/>
      <c r="N149" s="45"/>
    </row>
    <row r="150" spans="5:14" x14ac:dyDescent="0.2">
      <c r="E150" s="10"/>
      <c r="F150" s="53"/>
      <c r="G150" s="9"/>
      <c r="J150" s="17"/>
      <c r="K150" s="17"/>
      <c r="N150" s="45"/>
    </row>
    <row r="151" spans="5:14" x14ac:dyDescent="0.2">
      <c r="E151" s="10"/>
      <c r="F151" s="53"/>
      <c r="G151" s="9"/>
      <c r="J151" s="17"/>
      <c r="K151" s="17"/>
      <c r="N151" s="45"/>
    </row>
    <row r="152" spans="5:14" x14ac:dyDescent="0.2">
      <c r="E152" s="10"/>
      <c r="F152" s="53"/>
      <c r="G152" s="9"/>
      <c r="J152" s="17"/>
      <c r="K152" s="17"/>
      <c r="N152" s="45"/>
    </row>
    <row r="153" spans="5:14" x14ac:dyDescent="0.2">
      <c r="E153" s="10"/>
      <c r="F153" s="53"/>
      <c r="G153" s="9"/>
      <c r="J153" s="17"/>
      <c r="K153" s="17"/>
      <c r="N153" s="45"/>
    </row>
    <row r="154" spans="5:14" x14ac:dyDescent="0.2">
      <c r="E154" s="10"/>
      <c r="F154" s="53"/>
      <c r="G154" s="9"/>
      <c r="J154" s="17"/>
      <c r="K154" s="17"/>
      <c r="N154" s="45"/>
    </row>
    <row r="155" spans="5:14" x14ac:dyDescent="0.2">
      <c r="E155" s="10"/>
      <c r="F155" s="53"/>
      <c r="G155" s="9"/>
      <c r="J155" s="17"/>
      <c r="K155" s="17"/>
      <c r="N155" s="45"/>
    </row>
    <row r="156" spans="5:14" x14ac:dyDescent="0.2">
      <c r="E156" s="10"/>
      <c r="F156" s="53"/>
      <c r="G156" s="9"/>
      <c r="J156" s="17"/>
      <c r="K156" s="17"/>
      <c r="N156" s="45"/>
    </row>
    <row r="157" spans="5:14" x14ac:dyDescent="0.2">
      <c r="E157" s="10"/>
      <c r="F157" s="53"/>
      <c r="G157" s="9"/>
      <c r="J157" s="17"/>
      <c r="K157" s="17"/>
      <c r="N157" s="45"/>
    </row>
    <row r="158" spans="5:14" x14ac:dyDescent="0.2">
      <c r="E158" s="10"/>
      <c r="F158" s="53"/>
      <c r="G158" s="9"/>
      <c r="J158" s="17"/>
      <c r="K158" s="17"/>
      <c r="N158" s="45"/>
    </row>
    <row r="159" spans="5:14" x14ac:dyDescent="0.2">
      <c r="E159" s="10"/>
      <c r="F159" s="53"/>
      <c r="G159" s="9"/>
      <c r="J159" s="17"/>
      <c r="K159" s="17"/>
      <c r="N159" s="45"/>
    </row>
    <row r="160" spans="5:14" x14ac:dyDescent="0.2">
      <c r="E160" s="10"/>
      <c r="F160" s="53"/>
      <c r="G160" s="9"/>
      <c r="J160" s="17"/>
      <c r="K160" s="17"/>
      <c r="N160" s="45"/>
    </row>
    <row r="161" spans="5:14" x14ac:dyDescent="0.2">
      <c r="E161" s="10"/>
      <c r="F161" s="53"/>
      <c r="G161" s="9"/>
      <c r="J161" s="17"/>
      <c r="K161" s="17"/>
      <c r="N161" s="45"/>
    </row>
    <row r="162" spans="5:14" x14ac:dyDescent="0.2">
      <c r="E162" s="10"/>
      <c r="F162" s="53"/>
      <c r="G162" s="9"/>
      <c r="J162" s="17"/>
      <c r="K162" s="17"/>
      <c r="N162" s="45"/>
    </row>
    <row r="163" spans="5:14" x14ac:dyDescent="0.2">
      <c r="E163" s="10"/>
      <c r="F163" s="53"/>
      <c r="G163" s="9"/>
      <c r="J163" s="17"/>
      <c r="K163" s="17"/>
      <c r="N163" s="45"/>
    </row>
    <row r="164" spans="5:14" x14ac:dyDescent="0.2">
      <c r="E164" s="10"/>
      <c r="F164" s="53"/>
      <c r="G164" s="9"/>
      <c r="J164" s="17"/>
      <c r="K164" s="17"/>
      <c r="N164" s="45"/>
    </row>
    <row r="165" spans="5:14" x14ac:dyDescent="0.2">
      <c r="E165" s="10"/>
      <c r="F165" s="53"/>
      <c r="G165" s="9"/>
      <c r="J165" s="17"/>
      <c r="K165" s="17"/>
      <c r="N165" s="45"/>
    </row>
    <row r="166" spans="5:14" x14ac:dyDescent="0.2">
      <c r="E166" s="10"/>
      <c r="F166" s="53"/>
      <c r="G166" s="9"/>
      <c r="J166" s="17"/>
      <c r="K166" s="17"/>
      <c r="N166" s="45"/>
    </row>
    <row r="167" spans="5:14" x14ac:dyDescent="0.2">
      <c r="E167" s="10"/>
      <c r="F167" s="53"/>
      <c r="G167" s="9"/>
      <c r="J167" s="17"/>
      <c r="K167" s="17"/>
      <c r="N167" s="45"/>
    </row>
    <row r="168" spans="5:14" x14ac:dyDescent="0.2">
      <c r="E168" s="10"/>
      <c r="F168" s="53"/>
      <c r="G168" s="9"/>
      <c r="J168" s="17"/>
      <c r="K168" s="17"/>
      <c r="N168" s="45"/>
    </row>
    <row r="169" spans="5:14" x14ac:dyDescent="0.2">
      <c r="E169" s="10"/>
      <c r="F169" s="53"/>
      <c r="G169" s="9"/>
      <c r="J169" s="17"/>
      <c r="K169" s="17"/>
      <c r="N169" s="45"/>
    </row>
    <row r="170" spans="5:14" x14ac:dyDescent="0.2">
      <c r="E170" s="10"/>
      <c r="F170" s="53"/>
      <c r="G170" s="9"/>
      <c r="J170" s="17"/>
      <c r="K170" s="17"/>
      <c r="N170" s="45"/>
    </row>
    <row r="171" spans="5:14" x14ac:dyDescent="0.2">
      <c r="E171" s="10"/>
      <c r="F171" s="53"/>
      <c r="G171" s="9"/>
      <c r="J171" s="17"/>
      <c r="K171" s="17"/>
      <c r="N171" s="45"/>
    </row>
    <row r="172" spans="5:14" x14ac:dyDescent="0.2">
      <c r="E172" s="10"/>
      <c r="F172" s="53"/>
      <c r="G172" s="9"/>
      <c r="J172" s="17"/>
      <c r="K172" s="17"/>
      <c r="N172" s="45"/>
    </row>
    <row r="173" spans="5:14" x14ac:dyDescent="0.2">
      <c r="E173" s="10"/>
      <c r="F173" s="53"/>
      <c r="G173" s="9"/>
      <c r="J173" s="17"/>
      <c r="K173" s="17"/>
      <c r="N173" s="45"/>
    </row>
    <row r="174" spans="5:14" x14ac:dyDescent="0.2">
      <c r="E174" s="10"/>
      <c r="F174" s="53"/>
      <c r="G174" s="9"/>
      <c r="J174" s="17"/>
      <c r="K174" s="17"/>
      <c r="N174" s="45"/>
    </row>
    <row r="175" spans="5:14" x14ac:dyDescent="0.2">
      <c r="E175" s="10"/>
      <c r="F175" s="53"/>
      <c r="G175" s="9"/>
      <c r="J175" s="17"/>
      <c r="K175" s="17"/>
      <c r="N175" s="45"/>
    </row>
    <row r="176" spans="5:14" x14ac:dyDescent="0.2">
      <c r="E176" s="10"/>
      <c r="F176" s="53"/>
      <c r="G176" s="9"/>
      <c r="J176" s="17"/>
      <c r="K176" s="17"/>
      <c r="N176" s="45"/>
    </row>
    <row r="177" spans="5:14" x14ac:dyDescent="0.2">
      <c r="E177" s="10"/>
      <c r="F177" s="53"/>
      <c r="G177" s="9"/>
      <c r="J177" s="17"/>
      <c r="K177" s="17"/>
      <c r="N177" s="45"/>
    </row>
    <row r="178" spans="5:14" x14ac:dyDescent="0.2">
      <c r="E178" s="10"/>
      <c r="F178" s="53"/>
      <c r="G178" s="9"/>
      <c r="J178" s="17"/>
      <c r="K178" s="17"/>
      <c r="N178" s="45"/>
    </row>
    <row r="179" spans="5:14" x14ac:dyDescent="0.2">
      <c r="E179" s="10"/>
      <c r="F179" s="53"/>
      <c r="G179" s="9"/>
      <c r="J179" s="17"/>
      <c r="K179" s="17"/>
      <c r="N179" s="45"/>
    </row>
    <row r="180" spans="5:14" x14ac:dyDescent="0.2">
      <c r="E180" s="10"/>
      <c r="F180" s="53"/>
      <c r="G180" s="9"/>
      <c r="J180" s="17"/>
      <c r="K180" s="17"/>
      <c r="N180" s="45"/>
    </row>
    <row r="181" spans="5:14" x14ac:dyDescent="0.2">
      <c r="E181" s="10"/>
      <c r="F181" s="53"/>
      <c r="G181" s="9"/>
      <c r="J181" s="17"/>
      <c r="K181" s="17"/>
      <c r="N181" s="45"/>
    </row>
    <row r="182" spans="5:14" x14ac:dyDescent="0.2">
      <c r="E182" s="10"/>
      <c r="F182" s="53"/>
      <c r="G182" s="9"/>
      <c r="J182" s="17"/>
      <c r="K182" s="17"/>
      <c r="N182" s="45"/>
    </row>
    <row r="183" spans="5:14" x14ac:dyDescent="0.2">
      <c r="E183" s="10"/>
      <c r="F183" s="53"/>
      <c r="G183" s="9"/>
      <c r="J183" s="17"/>
      <c r="K183" s="17"/>
      <c r="N183" s="45"/>
    </row>
    <row r="184" spans="5:14" x14ac:dyDescent="0.2">
      <c r="E184" s="10"/>
      <c r="F184" s="53"/>
      <c r="G184" s="9"/>
      <c r="J184" s="17"/>
      <c r="K184" s="17"/>
      <c r="N184" s="45"/>
    </row>
    <row r="185" spans="5:14" x14ac:dyDescent="0.2">
      <c r="E185" s="10"/>
      <c r="F185" s="53"/>
      <c r="G185" s="9"/>
      <c r="J185" s="17"/>
      <c r="K185" s="17"/>
      <c r="N185" s="45"/>
    </row>
    <row r="186" spans="5:14" x14ac:dyDescent="0.2">
      <c r="E186" s="10"/>
      <c r="F186" s="53"/>
      <c r="G186" s="9"/>
      <c r="J186" s="17"/>
      <c r="K186" s="17"/>
      <c r="N186" s="45"/>
    </row>
    <row r="187" spans="5:14" x14ac:dyDescent="0.2">
      <c r="E187" s="10"/>
      <c r="F187" s="53"/>
      <c r="G187" s="9"/>
      <c r="J187" s="17"/>
      <c r="K187" s="17"/>
      <c r="N187" s="45"/>
    </row>
    <row r="188" spans="5:14" x14ac:dyDescent="0.2">
      <c r="E188" s="10"/>
      <c r="F188" s="53"/>
      <c r="G188" s="9"/>
      <c r="J188" s="17"/>
      <c r="K188" s="17"/>
      <c r="N188" s="45"/>
    </row>
    <row r="189" spans="5:14" x14ac:dyDescent="0.2">
      <c r="E189" s="10"/>
      <c r="F189" s="53"/>
      <c r="G189" s="9"/>
      <c r="J189" s="17"/>
      <c r="K189" s="17"/>
      <c r="N189" s="45"/>
    </row>
    <row r="190" spans="5:14" x14ac:dyDescent="0.2">
      <c r="E190" s="10"/>
      <c r="F190" s="53"/>
      <c r="G190" s="9"/>
      <c r="J190" s="17"/>
      <c r="K190" s="17"/>
      <c r="N190" s="45"/>
    </row>
    <row r="191" spans="5:14" x14ac:dyDescent="0.2">
      <c r="E191" s="10"/>
      <c r="F191" s="53"/>
      <c r="G191" s="9"/>
      <c r="J191" s="17"/>
      <c r="K191" s="17"/>
      <c r="N191" s="45"/>
    </row>
    <row r="192" spans="5:14" x14ac:dyDescent="0.2">
      <c r="E192" s="10"/>
      <c r="F192" s="53"/>
      <c r="G192" s="9"/>
      <c r="J192" s="17"/>
      <c r="K192" s="17"/>
      <c r="N192" s="45"/>
    </row>
    <row r="193" spans="5:14" x14ac:dyDescent="0.2">
      <c r="E193" s="10"/>
      <c r="F193" s="53"/>
      <c r="G193" s="9"/>
      <c r="J193" s="17"/>
      <c r="K193" s="17"/>
      <c r="N193" s="45"/>
    </row>
    <row r="194" spans="5:14" x14ac:dyDescent="0.2">
      <c r="E194" s="10"/>
      <c r="F194" s="53"/>
      <c r="G194" s="9"/>
      <c r="J194" s="17"/>
      <c r="K194" s="17"/>
      <c r="N194" s="45"/>
    </row>
    <row r="195" spans="5:14" x14ac:dyDescent="0.2">
      <c r="E195" s="10"/>
      <c r="F195" s="53"/>
      <c r="G195" s="9"/>
      <c r="J195" s="17"/>
      <c r="K195" s="17"/>
      <c r="N195" s="45"/>
    </row>
    <row r="196" spans="5:14" x14ac:dyDescent="0.2">
      <c r="E196" s="10"/>
      <c r="F196" s="53"/>
      <c r="G196" s="9"/>
      <c r="J196" s="17"/>
      <c r="K196" s="17"/>
      <c r="N196" s="45"/>
    </row>
    <row r="197" spans="5:14" x14ac:dyDescent="0.2">
      <c r="E197" s="10"/>
      <c r="F197" s="53"/>
      <c r="G197" s="9"/>
      <c r="J197" s="17"/>
      <c r="K197" s="17"/>
      <c r="N197" s="45"/>
    </row>
    <row r="198" spans="5:14" x14ac:dyDescent="0.2">
      <c r="E198" s="10"/>
      <c r="F198" s="53"/>
      <c r="G198" s="9"/>
      <c r="J198" s="17"/>
      <c r="K198" s="17"/>
      <c r="N198" s="45"/>
    </row>
    <row r="199" spans="5:14" x14ac:dyDescent="0.2">
      <c r="E199" s="10"/>
      <c r="F199" s="53"/>
      <c r="G199" s="9"/>
      <c r="J199" s="17"/>
      <c r="K199" s="17"/>
      <c r="N199" s="45"/>
    </row>
    <row r="200" spans="5:14" x14ac:dyDescent="0.2">
      <c r="E200" s="10"/>
      <c r="F200" s="53"/>
      <c r="G200" s="9"/>
      <c r="J200" s="17"/>
      <c r="K200" s="17"/>
      <c r="N200" s="45"/>
    </row>
    <row r="201" spans="5:14" x14ac:dyDescent="0.2">
      <c r="E201" s="10"/>
      <c r="F201" s="53"/>
      <c r="G201" s="9"/>
      <c r="J201" s="17"/>
      <c r="K201" s="17"/>
      <c r="N201" s="45"/>
    </row>
    <row r="202" spans="5:14" x14ac:dyDescent="0.2">
      <c r="E202" s="10"/>
      <c r="F202" s="53"/>
      <c r="G202" s="9"/>
      <c r="J202" s="17"/>
      <c r="K202" s="17"/>
      <c r="N202" s="45"/>
    </row>
    <row r="203" spans="5:14" x14ac:dyDescent="0.2">
      <c r="E203" s="10"/>
      <c r="F203" s="53"/>
      <c r="G203" s="9"/>
      <c r="J203" s="17"/>
      <c r="K203" s="17"/>
      <c r="N203" s="45"/>
    </row>
    <row r="204" spans="5:14" x14ac:dyDescent="0.2">
      <c r="E204" s="10"/>
      <c r="F204" s="53"/>
      <c r="G204" s="9"/>
      <c r="J204" s="17"/>
      <c r="K204" s="17"/>
      <c r="N204" s="45"/>
    </row>
    <row r="205" spans="5:14" x14ac:dyDescent="0.2">
      <c r="E205" s="10"/>
      <c r="F205" s="53"/>
      <c r="G205" s="9"/>
      <c r="J205" s="17"/>
      <c r="K205" s="17"/>
      <c r="N205" s="45"/>
    </row>
    <row r="206" spans="5:14" x14ac:dyDescent="0.2">
      <c r="E206" s="10"/>
      <c r="F206" s="53"/>
      <c r="G206" s="9"/>
      <c r="J206" s="17"/>
      <c r="K206" s="17"/>
      <c r="N206" s="45"/>
    </row>
    <row r="207" spans="5:14" x14ac:dyDescent="0.2">
      <c r="E207" s="10"/>
      <c r="F207" s="53"/>
      <c r="G207" s="9"/>
      <c r="J207" s="17"/>
      <c r="K207" s="17"/>
      <c r="N207" s="45"/>
    </row>
    <row r="208" spans="5:14" x14ac:dyDescent="0.2">
      <c r="E208" s="10"/>
      <c r="F208" s="53"/>
      <c r="G208" s="9"/>
      <c r="J208" s="17"/>
      <c r="K208" s="17"/>
      <c r="N208" s="45"/>
    </row>
    <row r="209" spans="5:14" x14ac:dyDescent="0.2">
      <c r="E209" s="10"/>
      <c r="F209" s="53"/>
      <c r="G209" s="9"/>
      <c r="J209" s="17"/>
      <c r="K209" s="17"/>
      <c r="N209" s="45"/>
    </row>
    <row r="210" spans="5:14" x14ac:dyDescent="0.2">
      <c r="E210" s="10"/>
      <c r="F210" s="53"/>
      <c r="G210" s="9"/>
      <c r="J210" s="17"/>
      <c r="K210" s="17"/>
      <c r="N210" s="45"/>
    </row>
    <row r="211" spans="5:14" x14ac:dyDescent="0.2">
      <c r="E211" s="10"/>
      <c r="F211" s="53"/>
      <c r="G211" s="9"/>
      <c r="J211" s="17"/>
      <c r="K211" s="17"/>
      <c r="N211" s="45"/>
    </row>
    <row r="212" spans="5:14" x14ac:dyDescent="0.2">
      <c r="E212" s="10"/>
      <c r="F212" s="53"/>
      <c r="G212" s="9"/>
      <c r="J212" s="17"/>
      <c r="K212" s="17"/>
      <c r="N212" s="45"/>
    </row>
    <row r="213" spans="5:14" x14ac:dyDescent="0.2">
      <c r="E213" s="10"/>
      <c r="F213" s="53"/>
      <c r="G213" s="9"/>
      <c r="J213" s="17"/>
      <c r="K213" s="17"/>
      <c r="N213" s="45"/>
    </row>
    <row r="214" spans="5:14" x14ac:dyDescent="0.2">
      <c r="E214" s="10"/>
      <c r="F214" s="53"/>
      <c r="G214" s="9"/>
      <c r="J214" s="17"/>
      <c r="K214" s="17"/>
      <c r="N214" s="45"/>
    </row>
    <row r="215" spans="5:14" x14ac:dyDescent="0.2">
      <c r="E215" s="10"/>
      <c r="F215" s="53"/>
      <c r="G215" s="9"/>
      <c r="J215" s="17"/>
      <c r="K215" s="17"/>
      <c r="N215" s="45"/>
    </row>
    <row r="216" spans="5:14" x14ac:dyDescent="0.2">
      <c r="E216" s="10"/>
      <c r="F216" s="53"/>
      <c r="G216" s="9"/>
      <c r="J216" s="17"/>
      <c r="K216" s="17"/>
      <c r="N216" s="45"/>
    </row>
    <row r="217" spans="5:14" x14ac:dyDescent="0.2">
      <c r="E217" s="10"/>
      <c r="F217" s="53"/>
      <c r="G217" s="9"/>
      <c r="J217" s="17"/>
      <c r="K217" s="17"/>
      <c r="N217" s="45"/>
    </row>
    <row r="218" spans="5:14" x14ac:dyDescent="0.2">
      <c r="E218" s="10"/>
      <c r="F218" s="53"/>
      <c r="G218" s="9"/>
      <c r="J218" s="17"/>
      <c r="K218" s="17"/>
      <c r="N218" s="45"/>
    </row>
    <row r="219" spans="5:14" x14ac:dyDescent="0.2">
      <c r="E219" s="10"/>
      <c r="F219" s="53"/>
      <c r="G219" s="9"/>
      <c r="J219" s="17"/>
      <c r="K219" s="17"/>
      <c r="N219" s="45"/>
    </row>
    <row r="220" spans="5:14" x14ac:dyDescent="0.2">
      <c r="E220" s="10"/>
      <c r="F220" s="53"/>
      <c r="G220" s="9"/>
      <c r="J220" s="17"/>
      <c r="K220" s="17"/>
      <c r="N220" s="45"/>
    </row>
    <row r="221" spans="5:14" x14ac:dyDescent="0.2">
      <c r="E221" s="10"/>
      <c r="F221" s="53"/>
      <c r="G221" s="9"/>
      <c r="J221" s="17"/>
      <c r="K221" s="17"/>
      <c r="N221" s="45"/>
    </row>
    <row r="222" spans="5:14" x14ac:dyDescent="0.2">
      <c r="E222" s="10"/>
      <c r="F222" s="53"/>
      <c r="G222" s="9"/>
      <c r="J222" s="17"/>
      <c r="K222" s="17"/>
      <c r="N222" s="45"/>
    </row>
    <row r="223" spans="5:14" x14ac:dyDescent="0.2">
      <c r="E223" s="10"/>
      <c r="F223" s="53"/>
      <c r="G223" s="9"/>
      <c r="J223" s="17"/>
      <c r="K223" s="17"/>
      <c r="N223" s="45"/>
    </row>
    <row r="224" spans="5:14" x14ac:dyDescent="0.2">
      <c r="E224" s="10"/>
      <c r="F224" s="53"/>
      <c r="G224" s="9"/>
      <c r="J224" s="17"/>
      <c r="K224" s="17"/>
      <c r="N224" s="45"/>
    </row>
    <row r="225" spans="5:14" x14ac:dyDescent="0.2">
      <c r="E225" s="10"/>
      <c r="F225" s="53"/>
      <c r="G225" s="9"/>
      <c r="J225" s="17"/>
      <c r="K225" s="17"/>
      <c r="N225" s="45"/>
    </row>
    <row r="226" spans="5:14" x14ac:dyDescent="0.2">
      <c r="E226" s="10"/>
      <c r="F226" s="53"/>
      <c r="G226" s="9"/>
      <c r="J226" s="17"/>
      <c r="K226" s="17"/>
      <c r="N226" s="45"/>
    </row>
    <row r="227" spans="5:14" x14ac:dyDescent="0.2">
      <c r="E227" s="10"/>
      <c r="F227" s="53"/>
      <c r="G227" s="9"/>
      <c r="J227" s="17"/>
      <c r="K227" s="17"/>
      <c r="N227" s="45"/>
    </row>
    <row r="228" spans="5:14" x14ac:dyDescent="0.2">
      <c r="E228" s="10"/>
      <c r="F228" s="53"/>
      <c r="G228" s="9"/>
      <c r="J228" s="17"/>
      <c r="K228" s="17"/>
      <c r="N228" s="45"/>
    </row>
    <row r="229" spans="5:14" x14ac:dyDescent="0.2">
      <c r="E229" s="10"/>
      <c r="F229" s="53"/>
      <c r="G229" s="9"/>
      <c r="J229" s="17"/>
      <c r="K229" s="17"/>
      <c r="N229" s="45"/>
    </row>
    <row r="230" spans="5:14" x14ac:dyDescent="0.2">
      <c r="E230" s="10"/>
      <c r="F230" s="53"/>
      <c r="G230" s="9"/>
      <c r="J230" s="17"/>
      <c r="K230" s="17"/>
      <c r="N230" s="45"/>
    </row>
    <row r="231" spans="5:14" x14ac:dyDescent="0.2">
      <c r="E231" s="10"/>
      <c r="F231" s="53"/>
      <c r="G231" s="9"/>
      <c r="J231" s="17"/>
      <c r="K231" s="17"/>
      <c r="N231" s="45"/>
    </row>
    <row r="232" spans="5:14" x14ac:dyDescent="0.2">
      <c r="E232" s="10"/>
      <c r="F232" s="53"/>
      <c r="G232" s="9"/>
      <c r="J232" s="17"/>
      <c r="K232" s="17"/>
      <c r="N232" s="45"/>
    </row>
    <row r="233" spans="5:14" x14ac:dyDescent="0.2">
      <c r="E233" s="10"/>
      <c r="F233" s="53"/>
      <c r="G233" s="9"/>
      <c r="J233" s="17"/>
      <c r="K233" s="17"/>
      <c r="N233" s="45"/>
    </row>
    <row r="234" spans="5:14" x14ac:dyDescent="0.2">
      <c r="E234" s="10"/>
      <c r="F234" s="53"/>
      <c r="G234" s="9"/>
      <c r="J234" s="17"/>
      <c r="K234" s="17"/>
      <c r="N234" s="45"/>
    </row>
    <row r="235" spans="5:14" x14ac:dyDescent="0.2">
      <c r="E235" s="10"/>
      <c r="F235" s="53"/>
      <c r="G235" s="9"/>
      <c r="J235" s="17"/>
      <c r="K235" s="17"/>
      <c r="N235" s="45"/>
    </row>
    <row r="236" spans="5:14" x14ac:dyDescent="0.2">
      <c r="E236" s="10"/>
      <c r="F236" s="53"/>
      <c r="G236" s="9"/>
      <c r="J236" s="17"/>
      <c r="K236" s="17"/>
      <c r="N236" s="45"/>
    </row>
    <row r="237" spans="5:14" x14ac:dyDescent="0.2">
      <c r="E237" s="10"/>
      <c r="F237" s="53"/>
      <c r="G237" s="9"/>
      <c r="J237" s="17"/>
      <c r="K237" s="17"/>
      <c r="N237" s="45"/>
    </row>
    <row r="238" spans="5:14" x14ac:dyDescent="0.2">
      <c r="E238" s="10"/>
      <c r="F238" s="53"/>
      <c r="G238" s="9"/>
      <c r="J238" s="17"/>
      <c r="K238" s="17"/>
      <c r="N238" s="45"/>
    </row>
    <row r="239" spans="5:14" x14ac:dyDescent="0.2">
      <c r="E239" s="10"/>
      <c r="F239" s="53"/>
      <c r="G239" s="9"/>
      <c r="J239" s="17"/>
      <c r="K239" s="17"/>
      <c r="N239" s="45"/>
    </row>
    <row r="240" spans="5:14" x14ac:dyDescent="0.2">
      <c r="E240" s="10"/>
      <c r="F240" s="53"/>
      <c r="G240" s="9"/>
      <c r="J240" s="17"/>
      <c r="K240" s="17"/>
      <c r="N240" s="45"/>
    </row>
    <row r="241" spans="5:14" x14ac:dyDescent="0.2">
      <c r="E241" s="10"/>
      <c r="F241" s="53"/>
      <c r="G241" s="9"/>
      <c r="J241" s="17"/>
      <c r="K241" s="17"/>
      <c r="N241" s="45"/>
    </row>
    <row r="242" spans="5:14" x14ac:dyDescent="0.2">
      <c r="E242" s="10"/>
      <c r="F242" s="53"/>
      <c r="G242" s="9"/>
      <c r="J242" s="17"/>
      <c r="K242" s="17"/>
      <c r="N242" s="45"/>
    </row>
    <row r="243" spans="5:14" x14ac:dyDescent="0.2">
      <c r="E243" s="10"/>
      <c r="F243" s="53"/>
      <c r="G243" s="9"/>
      <c r="J243" s="17"/>
      <c r="K243" s="17"/>
      <c r="N243" s="45"/>
    </row>
    <row r="244" spans="5:14" x14ac:dyDescent="0.2">
      <c r="E244" s="10"/>
      <c r="F244" s="53"/>
      <c r="G244" s="9"/>
      <c r="J244" s="17"/>
      <c r="K244" s="17"/>
      <c r="N244" s="45"/>
    </row>
    <row r="245" spans="5:14" x14ac:dyDescent="0.2">
      <c r="E245" s="10"/>
      <c r="F245" s="53"/>
      <c r="G245" s="9"/>
      <c r="J245" s="17"/>
      <c r="K245" s="17"/>
      <c r="N245" s="45"/>
    </row>
    <row r="246" spans="5:14" x14ac:dyDescent="0.2">
      <c r="E246" s="10"/>
      <c r="F246" s="53"/>
      <c r="G246" s="9"/>
      <c r="J246" s="17"/>
      <c r="K246" s="17"/>
      <c r="N246" s="45"/>
    </row>
    <row r="247" spans="5:14" x14ac:dyDescent="0.2">
      <c r="E247" s="10"/>
      <c r="F247" s="53"/>
      <c r="G247" s="9"/>
      <c r="J247" s="17"/>
      <c r="K247" s="17"/>
      <c r="N247" s="45"/>
    </row>
    <row r="248" spans="5:14" x14ac:dyDescent="0.2">
      <c r="E248" s="10"/>
      <c r="F248" s="53"/>
      <c r="G248" s="9"/>
      <c r="J248" s="17"/>
      <c r="K248" s="17"/>
      <c r="N248" s="45"/>
    </row>
    <row r="249" spans="5:14" x14ac:dyDescent="0.2">
      <c r="E249" s="10"/>
      <c r="F249" s="53"/>
      <c r="G249" s="9"/>
      <c r="J249" s="17"/>
      <c r="K249" s="17"/>
      <c r="N249" s="45"/>
    </row>
    <row r="250" spans="5:14" x14ac:dyDescent="0.2">
      <c r="E250" s="10"/>
      <c r="F250" s="53"/>
      <c r="G250" s="9"/>
      <c r="J250" s="17"/>
      <c r="K250" s="17"/>
      <c r="N250" s="45"/>
    </row>
    <row r="251" spans="5:14" x14ac:dyDescent="0.2">
      <c r="E251" s="10"/>
      <c r="F251" s="53"/>
      <c r="G251" s="9"/>
      <c r="J251" s="17"/>
      <c r="K251" s="17"/>
      <c r="N251" s="45"/>
    </row>
    <row r="252" spans="5:14" x14ac:dyDescent="0.2">
      <c r="E252" s="10"/>
      <c r="F252" s="53"/>
      <c r="G252" s="9"/>
      <c r="J252" s="17"/>
      <c r="K252" s="17"/>
      <c r="N252" s="45"/>
    </row>
    <row r="253" spans="5:14" x14ac:dyDescent="0.2">
      <c r="E253" s="10"/>
      <c r="F253" s="53"/>
      <c r="G253" s="9"/>
      <c r="J253" s="17"/>
      <c r="K253" s="17"/>
      <c r="N253" s="45"/>
    </row>
    <row r="254" spans="5:14" x14ac:dyDescent="0.2">
      <c r="E254" s="10"/>
      <c r="F254" s="53"/>
      <c r="G254" s="9"/>
      <c r="J254" s="17"/>
      <c r="K254" s="17"/>
      <c r="N254" s="45"/>
    </row>
    <row r="255" spans="5:14" x14ac:dyDescent="0.2">
      <c r="E255" s="10"/>
      <c r="F255" s="53"/>
      <c r="G255" s="9"/>
      <c r="J255" s="17"/>
      <c r="K255" s="17"/>
      <c r="N255" s="45"/>
    </row>
    <row r="256" spans="5:14" x14ac:dyDescent="0.2">
      <c r="E256" s="10"/>
      <c r="F256" s="53"/>
      <c r="G256" s="9"/>
      <c r="J256" s="17"/>
      <c r="K256" s="17"/>
      <c r="N256" s="45"/>
    </row>
    <row r="257" spans="5:14" x14ac:dyDescent="0.2">
      <c r="E257" s="10"/>
      <c r="F257" s="53"/>
      <c r="G257" s="9"/>
      <c r="J257" s="17"/>
      <c r="K257" s="17"/>
      <c r="N257" s="45"/>
    </row>
    <row r="258" spans="5:14" x14ac:dyDescent="0.2">
      <c r="E258" s="10"/>
      <c r="F258" s="53"/>
      <c r="G258" s="9"/>
      <c r="J258" s="17"/>
      <c r="K258" s="17"/>
      <c r="N258" s="45"/>
    </row>
    <row r="259" spans="5:14" x14ac:dyDescent="0.2">
      <c r="E259" s="10"/>
      <c r="F259" s="53"/>
      <c r="G259" s="9"/>
      <c r="J259" s="17"/>
      <c r="K259" s="17"/>
      <c r="N259" s="45"/>
    </row>
    <row r="260" spans="5:14" x14ac:dyDescent="0.2">
      <c r="E260" s="10"/>
      <c r="F260" s="53"/>
      <c r="G260" s="9"/>
      <c r="J260" s="17"/>
      <c r="K260" s="17"/>
      <c r="N260" s="45"/>
    </row>
    <row r="261" spans="5:14" x14ac:dyDescent="0.2">
      <c r="E261" s="10"/>
      <c r="F261" s="53"/>
      <c r="G261" s="9"/>
      <c r="J261" s="17"/>
      <c r="K261" s="17"/>
      <c r="N261" s="45"/>
    </row>
    <row r="262" spans="5:14" x14ac:dyDescent="0.2">
      <c r="E262" s="10"/>
      <c r="F262" s="53"/>
      <c r="G262" s="9"/>
      <c r="J262" s="17"/>
      <c r="K262" s="17"/>
      <c r="N262" s="45"/>
    </row>
    <row r="263" spans="5:14" x14ac:dyDescent="0.2">
      <c r="E263" s="10"/>
      <c r="F263" s="53"/>
      <c r="G263" s="9"/>
      <c r="J263" s="17"/>
      <c r="K263" s="17"/>
      <c r="N263" s="45"/>
    </row>
    <row r="264" spans="5:14" x14ac:dyDescent="0.2">
      <c r="E264" s="10"/>
      <c r="F264" s="53"/>
      <c r="G264" s="9"/>
      <c r="J264" s="17"/>
      <c r="K264" s="17"/>
      <c r="N264" s="45"/>
    </row>
    <row r="265" spans="5:14" x14ac:dyDescent="0.2">
      <c r="E265" s="10"/>
      <c r="F265" s="53"/>
      <c r="G265" s="9"/>
      <c r="J265" s="17"/>
      <c r="K265" s="17"/>
      <c r="N265" s="45"/>
    </row>
    <row r="266" spans="5:14" x14ac:dyDescent="0.2">
      <c r="E266" s="10"/>
      <c r="F266" s="53"/>
      <c r="G266" s="9"/>
      <c r="J266" s="17"/>
      <c r="K266" s="17"/>
      <c r="N266" s="45"/>
    </row>
    <row r="267" spans="5:14" x14ac:dyDescent="0.2">
      <c r="E267" s="10"/>
      <c r="F267" s="53"/>
      <c r="G267" s="9"/>
      <c r="J267" s="17"/>
      <c r="K267" s="17"/>
      <c r="N267" s="45"/>
    </row>
    <row r="268" spans="5:14" x14ac:dyDescent="0.2">
      <c r="E268" s="10"/>
      <c r="F268" s="53"/>
      <c r="G268" s="9"/>
      <c r="J268" s="17"/>
      <c r="K268" s="17"/>
      <c r="N268" s="45"/>
    </row>
    <row r="269" spans="5:14" x14ac:dyDescent="0.2">
      <c r="E269" s="10"/>
      <c r="F269" s="53"/>
      <c r="G269" s="9"/>
      <c r="J269" s="17"/>
      <c r="K269" s="17"/>
      <c r="N269" s="45"/>
    </row>
    <row r="270" spans="5:14" x14ac:dyDescent="0.2">
      <c r="E270" s="10"/>
      <c r="F270" s="53"/>
      <c r="G270" s="9"/>
      <c r="J270" s="17"/>
      <c r="K270" s="17"/>
      <c r="N270" s="45"/>
    </row>
    <row r="271" spans="5:14" x14ac:dyDescent="0.2">
      <c r="E271" s="10"/>
      <c r="F271" s="53"/>
      <c r="G271" s="9"/>
      <c r="J271" s="17"/>
      <c r="K271" s="17"/>
      <c r="N271" s="45"/>
    </row>
    <row r="272" spans="5:14" x14ac:dyDescent="0.2">
      <c r="E272" s="10"/>
      <c r="F272" s="53"/>
      <c r="G272" s="9"/>
      <c r="J272" s="17"/>
      <c r="K272" s="17"/>
      <c r="N272" s="45"/>
    </row>
    <row r="273" spans="5:14" x14ac:dyDescent="0.2">
      <c r="E273" s="10"/>
      <c r="F273" s="53"/>
      <c r="G273" s="9"/>
      <c r="J273" s="17"/>
      <c r="K273" s="17"/>
      <c r="N273" s="45"/>
    </row>
    <row r="274" spans="5:14" x14ac:dyDescent="0.2">
      <c r="E274" s="10"/>
      <c r="F274" s="53"/>
      <c r="G274" s="9"/>
      <c r="J274" s="17"/>
      <c r="K274" s="17"/>
      <c r="N274" s="45"/>
    </row>
    <row r="275" spans="5:14" x14ac:dyDescent="0.2">
      <c r="E275" s="10"/>
      <c r="F275" s="53"/>
      <c r="G275" s="9"/>
      <c r="J275" s="17"/>
      <c r="K275" s="17"/>
      <c r="N275" s="45"/>
    </row>
    <row r="276" spans="5:14" x14ac:dyDescent="0.2">
      <c r="E276" s="10"/>
      <c r="F276" s="53"/>
      <c r="G276" s="9"/>
      <c r="J276" s="17"/>
      <c r="K276" s="17"/>
      <c r="N276" s="45"/>
    </row>
    <row r="277" spans="5:14" x14ac:dyDescent="0.2">
      <c r="E277" s="10"/>
      <c r="F277" s="53"/>
      <c r="G277" s="9"/>
      <c r="J277" s="17"/>
      <c r="K277" s="17"/>
      <c r="N277" s="45"/>
    </row>
    <row r="278" spans="5:14" x14ac:dyDescent="0.2">
      <c r="E278" s="10"/>
      <c r="F278" s="53"/>
      <c r="G278" s="9"/>
      <c r="J278" s="17"/>
      <c r="K278" s="17"/>
      <c r="N278" s="45"/>
    </row>
    <row r="279" spans="5:14" x14ac:dyDescent="0.2">
      <c r="E279" s="10"/>
      <c r="F279" s="53"/>
      <c r="G279" s="9"/>
      <c r="J279" s="17"/>
      <c r="K279" s="17"/>
      <c r="N279" s="45"/>
    </row>
    <row r="280" spans="5:14" x14ac:dyDescent="0.2">
      <c r="E280" s="10"/>
      <c r="F280" s="53"/>
      <c r="G280" s="9"/>
      <c r="J280" s="17"/>
      <c r="K280" s="17"/>
      <c r="N280" s="45"/>
    </row>
    <row r="281" spans="5:14" x14ac:dyDescent="0.2">
      <c r="E281" s="10"/>
      <c r="F281" s="53"/>
      <c r="G281" s="9"/>
      <c r="J281" s="17"/>
      <c r="K281" s="17"/>
      <c r="N281" s="45"/>
    </row>
    <row r="282" spans="5:14" x14ac:dyDescent="0.2">
      <c r="E282" s="10"/>
      <c r="F282" s="53"/>
      <c r="G282" s="9"/>
      <c r="J282" s="17"/>
      <c r="K282" s="17"/>
      <c r="N282" s="45"/>
    </row>
    <row r="283" spans="5:14" x14ac:dyDescent="0.2">
      <c r="E283" s="10"/>
      <c r="F283" s="53"/>
      <c r="G283" s="9"/>
      <c r="J283" s="17"/>
      <c r="K283" s="17"/>
      <c r="N283" s="45"/>
    </row>
    <row r="284" spans="5:14" x14ac:dyDescent="0.2">
      <c r="E284" s="10"/>
      <c r="F284" s="53"/>
      <c r="G284" s="9"/>
      <c r="J284" s="17"/>
      <c r="K284" s="17"/>
      <c r="N284" s="45"/>
    </row>
    <row r="285" spans="5:14" x14ac:dyDescent="0.2">
      <c r="E285" s="10"/>
      <c r="F285" s="53"/>
      <c r="G285" s="9"/>
      <c r="J285" s="17"/>
      <c r="K285" s="17"/>
      <c r="N285" s="45"/>
    </row>
    <row r="286" spans="5:14" x14ac:dyDescent="0.2">
      <c r="E286" s="10"/>
      <c r="F286" s="53"/>
      <c r="G286" s="9"/>
      <c r="J286" s="17"/>
      <c r="K286" s="17"/>
      <c r="N286" s="45"/>
    </row>
    <row r="287" spans="5:14" x14ac:dyDescent="0.2">
      <c r="E287" s="10"/>
      <c r="F287" s="53"/>
      <c r="G287" s="9"/>
      <c r="J287" s="17"/>
      <c r="K287" s="17"/>
      <c r="N287" s="45"/>
    </row>
    <row r="288" spans="5:14" x14ac:dyDescent="0.2">
      <c r="E288" s="10"/>
      <c r="F288" s="53"/>
      <c r="G288" s="9"/>
      <c r="J288" s="17"/>
      <c r="K288" s="17"/>
      <c r="N288" s="45"/>
    </row>
    <row r="289" spans="5:14" x14ac:dyDescent="0.2">
      <c r="E289" s="10"/>
      <c r="F289" s="53"/>
      <c r="G289" s="9"/>
      <c r="J289" s="17"/>
      <c r="K289" s="17"/>
      <c r="N289" s="45"/>
    </row>
    <row r="290" spans="5:14" x14ac:dyDescent="0.2">
      <c r="E290" s="10"/>
      <c r="F290" s="53"/>
      <c r="G290" s="9"/>
      <c r="J290" s="17"/>
      <c r="K290" s="17"/>
      <c r="N290" s="45"/>
    </row>
    <row r="291" spans="5:14" x14ac:dyDescent="0.2">
      <c r="E291" s="10"/>
      <c r="F291" s="53"/>
      <c r="G291" s="9"/>
      <c r="J291" s="17"/>
      <c r="K291" s="17"/>
      <c r="N291" s="45"/>
    </row>
    <row r="292" spans="5:14" x14ac:dyDescent="0.2">
      <c r="E292" s="10"/>
      <c r="F292" s="53"/>
      <c r="G292" s="9"/>
      <c r="J292" s="17"/>
      <c r="K292" s="17"/>
      <c r="N292" s="45"/>
    </row>
    <row r="293" spans="5:14" x14ac:dyDescent="0.2">
      <c r="E293" s="10"/>
      <c r="F293" s="53"/>
      <c r="G293" s="9"/>
      <c r="J293" s="17"/>
      <c r="K293" s="17"/>
      <c r="N293" s="45"/>
    </row>
    <row r="294" spans="5:14" x14ac:dyDescent="0.2">
      <c r="E294" s="10"/>
      <c r="F294" s="53"/>
      <c r="G294" s="9"/>
      <c r="J294" s="17"/>
      <c r="K294" s="17"/>
      <c r="N294" s="45"/>
    </row>
    <row r="295" spans="5:14" x14ac:dyDescent="0.2">
      <c r="E295" s="10"/>
      <c r="F295" s="53"/>
      <c r="G295" s="9"/>
      <c r="J295" s="17"/>
      <c r="K295" s="17"/>
      <c r="N295" s="45"/>
    </row>
    <row r="296" spans="5:14" x14ac:dyDescent="0.2">
      <c r="E296" s="10"/>
      <c r="F296" s="53"/>
      <c r="G296" s="9"/>
      <c r="J296" s="17"/>
      <c r="K296" s="17"/>
      <c r="N296" s="45"/>
    </row>
    <row r="297" spans="5:14" x14ac:dyDescent="0.2">
      <c r="E297" s="10"/>
      <c r="F297" s="53"/>
      <c r="G297" s="9"/>
      <c r="J297" s="17"/>
      <c r="K297" s="17"/>
      <c r="N297" s="45"/>
    </row>
    <row r="298" spans="5:14" x14ac:dyDescent="0.2">
      <c r="E298" s="10"/>
      <c r="F298" s="53"/>
      <c r="G298" s="9"/>
      <c r="J298" s="17"/>
      <c r="K298" s="17"/>
      <c r="N298" s="45"/>
    </row>
    <row r="299" spans="5:14" x14ac:dyDescent="0.2">
      <c r="E299" s="10"/>
      <c r="F299" s="53"/>
      <c r="G299" s="9"/>
      <c r="J299" s="17"/>
      <c r="K299" s="17"/>
      <c r="N299" s="45"/>
    </row>
    <row r="300" spans="5:14" x14ac:dyDescent="0.2">
      <c r="E300" s="10"/>
      <c r="F300" s="53"/>
      <c r="G300" s="9"/>
      <c r="J300" s="17"/>
      <c r="K300" s="17"/>
      <c r="N300" s="45"/>
    </row>
    <row r="301" spans="5:14" x14ac:dyDescent="0.2">
      <c r="E301" s="10"/>
      <c r="F301" s="53"/>
      <c r="G301" s="9"/>
      <c r="J301" s="17"/>
      <c r="K301" s="17"/>
      <c r="N301" s="45"/>
    </row>
    <row r="302" spans="5:14" x14ac:dyDescent="0.2">
      <c r="E302" s="10"/>
      <c r="F302" s="53"/>
      <c r="G302" s="9"/>
      <c r="J302" s="17"/>
      <c r="K302" s="17"/>
      <c r="N302" s="45"/>
    </row>
    <row r="303" spans="5:14" x14ac:dyDescent="0.2">
      <c r="E303" s="10"/>
      <c r="F303" s="53"/>
      <c r="G303" s="9"/>
      <c r="J303" s="17"/>
      <c r="K303" s="17"/>
      <c r="N303" s="45"/>
    </row>
    <row r="304" spans="5:14" x14ac:dyDescent="0.2">
      <c r="E304" s="10"/>
      <c r="F304" s="53"/>
      <c r="G304" s="9"/>
      <c r="J304" s="17"/>
      <c r="K304" s="17"/>
      <c r="N304" s="45"/>
    </row>
    <row r="305" spans="5:14" x14ac:dyDescent="0.2">
      <c r="E305" s="10"/>
      <c r="F305" s="53"/>
      <c r="G305" s="9"/>
      <c r="J305" s="17"/>
      <c r="K305" s="17"/>
      <c r="N305" s="45"/>
    </row>
    <row r="306" spans="5:14" x14ac:dyDescent="0.2">
      <c r="E306" s="10"/>
      <c r="F306" s="53"/>
      <c r="G306" s="9"/>
      <c r="J306" s="17"/>
      <c r="K306" s="17"/>
      <c r="N306" s="45"/>
    </row>
    <row r="307" spans="5:14" x14ac:dyDescent="0.2">
      <c r="E307" s="10"/>
      <c r="F307" s="53"/>
      <c r="G307" s="9"/>
      <c r="J307" s="17"/>
      <c r="K307" s="17"/>
      <c r="N307" s="45"/>
    </row>
    <row r="308" spans="5:14" x14ac:dyDescent="0.2">
      <c r="E308" s="10"/>
      <c r="F308" s="53"/>
      <c r="G308" s="9"/>
      <c r="J308" s="17"/>
      <c r="K308" s="17"/>
      <c r="N308" s="45"/>
    </row>
    <row r="309" spans="5:14" x14ac:dyDescent="0.2">
      <c r="E309" s="10"/>
      <c r="F309" s="53"/>
      <c r="G309" s="9"/>
      <c r="J309" s="17"/>
      <c r="K309" s="17"/>
      <c r="N309" s="45"/>
    </row>
    <row r="310" spans="5:14" x14ac:dyDescent="0.2">
      <c r="E310" s="10"/>
      <c r="F310" s="53"/>
      <c r="G310" s="9"/>
      <c r="J310" s="17"/>
      <c r="K310" s="17"/>
      <c r="N310" s="45"/>
    </row>
    <row r="311" spans="5:14" x14ac:dyDescent="0.2">
      <c r="E311" s="10"/>
      <c r="F311" s="53"/>
      <c r="G311" s="9"/>
      <c r="J311" s="17"/>
      <c r="K311" s="17"/>
      <c r="N311" s="45"/>
    </row>
    <row r="312" spans="5:14" x14ac:dyDescent="0.2">
      <c r="E312" s="10"/>
      <c r="F312" s="53"/>
      <c r="G312" s="9"/>
      <c r="J312" s="17"/>
      <c r="K312" s="17"/>
      <c r="N312" s="45"/>
    </row>
    <row r="313" spans="5:14" x14ac:dyDescent="0.2">
      <c r="E313" s="10"/>
      <c r="F313" s="53"/>
      <c r="G313" s="9"/>
      <c r="J313" s="17"/>
      <c r="K313" s="17"/>
      <c r="N313" s="45"/>
    </row>
    <row r="314" spans="5:14" x14ac:dyDescent="0.2">
      <c r="E314" s="10"/>
      <c r="F314" s="53"/>
      <c r="G314" s="9"/>
      <c r="J314" s="17"/>
      <c r="K314" s="17"/>
      <c r="N314" s="45"/>
    </row>
    <row r="315" spans="5:14" x14ac:dyDescent="0.2">
      <c r="E315" s="10"/>
      <c r="F315" s="53"/>
      <c r="G315" s="9"/>
      <c r="J315" s="17"/>
      <c r="K315" s="17"/>
      <c r="N315" s="45"/>
    </row>
    <row r="316" spans="5:14" x14ac:dyDescent="0.2">
      <c r="E316" s="10"/>
      <c r="F316" s="53"/>
      <c r="G316" s="9"/>
      <c r="J316" s="17"/>
      <c r="K316" s="17"/>
      <c r="N316" s="45"/>
    </row>
    <row r="317" spans="5:14" x14ac:dyDescent="0.2">
      <c r="E317" s="10"/>
      <c r="F317" s="53"/>
      <c r="G317" s="9"/>
      <c r="J317" s="17"/>
      <c r="K317" s="17"/>
      <c r="N317" s="45"/>
    </row>
    <row r="318" spans="5:14" x14ac:dyDescent="0.2">
      <c r="E318" s="10"/>
      <c r="F318" s="53"/>
      <c r="G318" s="9"/>
      <c r="J318" s="17"/>
      <c r="K318" s="17"/>
      <c r="N318" s="45"/>
    </row>
    <row r="319" spans="5:14" x14ac:dyDescent="0.2">
      <c r="E319" s="10"/>
      <c r="F319" s="53"/>
      <c r="G319" s="9"/>
      <c r="J319" s="17"/>
      <c r="K319" s="17"/>
      <c r="N319" s="45"/>
    </row>
    <row r="320" spans="5:14" x14ac:dyDescent="0.2">
      <c r="E320" s="10"/>
      <c r="F320" s="53"/>
      <c r="G320" s="9"/>
      <c r="J320" s="17"/>
      <c r="K320" s="17"/>
      <c r="N320" s="45"/>
    </row>
    <row r="321" spans="5:14" x14ac:dyDescent="0.2">
      <c r="E321" s="10"/>
      <c r="F321" s="53"/>
      <c r="G321" s="9"/>
      <c r="J321" s="17"/>
      <c r="K321" s="17"/>
      <c r="N321" s="45"/>
    </row>
    <row r="322" spans="5:14" x14ac:dyDescent="0.2">
      <c r="E322" s="10"/>
      <c r="F322" s="53"/>
      <c r="G322" s="9"/>
      <c r="J322" s="17"/>
      <c r="K322" s="17"/>
      <c r="N322" s="45"/>
    </row>
    <row r="323" spans="5:14" x14ac:dyDescent="0.2">
      <c r="E323" s="10"/>
      <c r="F323" s="53"/>
      <c r="G323" s="9"/>
      <c r="J323" s="17"/>
      <c r="K323" s="17"/>
      <c r="N323" s="45"/>
    </row>
    <row r="324" spans="5:14" x14ac:dyDescent="0.2">
      <c r="E324" s="10"/>
      <c r="F324" s="53"/>
      <c r="G324" s="9"/>
      <c r="J324" s="17"/>
      <c r="K324" s="17"/>
      <c r="N324" s="45"/>
    </row>
    <row r="325" spans="5:14" x14ac:dyDescent="0.2">
      <c r="E325" s="10"/>
      <c r="F325" s="53"/>
      <c r="G325" s="9"/>
      <c r="J325" s="17"/>
      <c r="K325" s="17"/>
      <c r="N325" s="45"/>
    </row>
    <row r="326" spans="5:14" x14ac:dyDescent="0.2">
      <c r="E326" s="10"/>
      <c r="F326" s="53"/>
      <c r="G326" s="9"/>
      <c r="J326" s="17"/>
      <c r="K326" s="17"/>
      <c r="N326" s="45"/>
    </row>
    <row r="327" spans="5:14" x14ac:dyDescent="0.2">
      <c r="E327" s="10"/>
      <c r="F327" s="53"/>
      <c r="G327" s="9"/>
      <c r="J327" s="17"/>
      <c r="K327" s="17"/>
      <c r="N327" s="45"/>
    </row>
    <row r="328" spans="5:14" x14ac:dyDescent="0.2">
      <c r="E328" s="10"/>
      <c r="F328" s="53"/>
      <c r="G328" s="9"/>
      <c r="J328" s="17"/>
      <c r="K328" s="17"/>
      <c r="N328" s="45"/>
    </row>
    <row r="329" spans="5:14" x14ac:dyDescent="0.2">
      <c r="E329" s="10"/>
      <c r="F329" s="53"/>
      <c r="G329" s="9"/>
      <c r="J329" s="17"/>
      <c r="K329" s="17"/>
      <c r="N329" s="45"/>
    </row>
    <row r="330" spans="5:14" x14ac:dyDescent="0.2">
      <c r="E330" s="10"/>
      <c r="F330" s="53"/>
      <c r="G330" s="9"/>
      <c r="J330" s="17"/>
      <c r="K330" s="17"/>
      <c r="N330" s="45"/>
    </row>
    <row r="331" spans="5:14" x14ac:dyDescent="0.2">
      <c r="E331" s="10"/>
      <c r="F331" s="53"/>
      <c r="G331" s="9"/>
      <c r="J331" s="17"/>
      <c r="K331" s="17"/>
      <c r="N331" s="45"/>
    </row>
    <row r="332" spans="5:14" x14ac:dyDescent="0.2">
      <c r="E332" s="10"/>
      <c r="F332" s="53"/>
      <c r="G332" s="9"/>
      <c r="J332" s="17"/>
      <c r="K332" s="17"/>
      <c r="N332" s="45"/>
    </row>
    <row r="333" spans="5:14" x14ac:dyDescent="0.2">
      <c r="E333" s="10"/>
      <c r="F333" s="53"/>
      <c r="G333" s="9"/>
      <c r="J333" s="17"/>
      <c r="K333" s="17"/>
      <c r="N333" s="45"/>
    </row>
    <row r="334" spans="5:14" x14ac:dyDescent="0.2">
      <c r="E334" s="10"/>
      <c r="F334" s="53"/>
      <c r="G334" s="9"/>
      <c r="J334" s="17"/>
      <c r="K334" s="17"/>
      <c r="N334" s="45"/>
    </row>
    <row r="335" spans="5:14" x14ac:dyDescent="0.2">
      <c r="E335" s="10"/>
      <c r="F335" s="53"/>
      <c r="G335" s="9"/>
      <c r="J335" s="17"/>
      <c r="K335" s="17"/>
      <c r="N335" s="45"/>
    </row>
    <row r="336" spans="5:14" x14ac:dyDescent="0.2">
      <c r="E336" s="10"/>
      <c r="F336" s="53"/>
      <c r="G336" s="9"/>
      <c r="J336" s="17"/>
      <c r="K336" s="17"/>
      <c r="N336" s="45"/>
    </row>
    <row r="337" spans="5:14" x14ac:dyDescent="0.2">
      <c r="E337" s="10"/>
      <c r="F337" s="53"/>
      <c r="G337" s="9"/>
      <c r="J337" s="17"/>
      <c r="K337" s="17"/>
      <c r="N337" s="45"/>
    </row>
    <row r="338" spans="5:14" x14ac:dyDescent="0.2">
      <c r="E338" s="10"/>
      <c r="F338" s="53"/>
      <c r="G338" s="9"/>
      <c r="J338" s="17"/>
      <c r="K338" s="17"/>
      <c r="N338" s="45"/>
    </row>
    <row r="339" spans="5:14" x14ac:dyDescent="0.2">
      <c r="E339" s="10"/>
      <c r="F339" s="53"/>
      <c r="G339" s="9"/>
      <c r="J339" s="17"/>
      <c r="K339" s="17"/>
      <c r="N339" s="45"/>
    </row>
    <row r="340" spans="5:14" x14ac:dyDescent="0.2">
      <c r="E340" s="10"/>
      <c r="F340" s="53"/>
      <c r="G340" s="9"/>
      <c r="J340" s="17"/>
      <c r="K340" s="17"/>
      <c r="N340" s="45"/>
    </row>
    <row r="341" spans="5:14" x14ac:dyDescent="0.2">
      <c r="E341" s="10"/>
      <c r="F341" s="53"/>
      <c r="G341" s="9"/>
      <c r="J341" s="17"/>
      <c r="K341" s="17"/>
      <c r="N341" s="45"/>
    </row>
    <row r="342" spans="5:14" x14ac:dyDescent="0.2">
      <c r="E342" s="10"/>
      <c r="F342" s="53"/>
      <c r="G342" s="9"/>
      <c r="J342" s="17"/>
      <c r="K342" s="17"/>
      <c r="N342" s="45"/>
    </row>
    <row r="343" spans="5:14" x14ac:dyDescent="0.2">
      <c r="E343" s="10"/>
      <c r="F343" s="53"/>
      <c r="G343" s="9"/>
      <c r="J343" s="17"/>
      <c r="K343" s="17"/>
      <c r="N343" s="45"/>
    </row>
    <row r="344" spans="5:14" x14ac:dyDescent="0.2">
      <c r="E344" s="10"/>
      <c r="F344" s="53"/>
      <c r="G344" s="9"/>
      <c r="J344" s="17"/>
      <c r="K344" s="17"/>
      <c r="N344" s="45"/>
    </row>
    <row r="345" spans="5:14" x14ac:dyDescent="0.2">
      <c r="E345" s="10"/>
      <c r="F345" s="53"/>
      <c r="G345" s="9"/>
      <c r="J345" s="17"/>
      <c r="K345" s="17"/>
      <c r="N345" s="45"/>
    </row>
    <row r="346" spans="5:14" x14ac:dyDescent="0.2">
      <c r="E346" s="10"/>
      <c r="F346" s="53"/>
      <c r="G346" s="9"/>
      <c r="J346" s="17"/>
      <c r="K346" s="17"/>
      <c r="N346" s="45"/>
    </row>
    <row r="347" spans="5:14" x14ac:dyDescent="0.2">
      <c r="E347" s="10"/>
      <c r="F347" s="53"/>
      <c r="G347" s="9"/>
      <c r="J347" s="17"/>
      <c r="K347" s="17"/>
      <c r="N347" s="45"/>
    </row>
    <row r="348" spans="5:14" x14ac:dyDescent="0.2">
      <c r="E348" s="10"/>
      <c r="F348" s="53"/>
      <c r="G348" s="9"/>
      <c r="J348" s="17"/>
      <c r="K348" s="17"/>
      <c r="N348" s="45"/>
    </row>
    <row r="349" spans="5:14" x14ac:dyDescent="0.2">
      <c r="E349" s="10"/>
      <c r="F349" s="53"/>
      <c r="G349" s="9"/>
      <c r="J349" s="17"/>
      <c r="K349" s="17"/>
      <c r="N349" s="45"/>
    </row>
    <row r="350" spans="5:14" x14ac:dyDescent="0.2">
      <c r="E350" s="10"/>
      <c r="F350" s="53"/>
      <c r="G350" s="9"/>
      <c r="J350" s="17"/>
      <c r="K350" s="17"/>
      <c r="N350" s="45"/>
    </row>
    <row r="351" spans="5:14" x14ac:dyDescent="0.2">
      <c r="E351" s="10"/>
      <c r="F351" s="53"/>
      <c r="G351" s="9"/>
      <c r="J351" s="17"/>
      <c r="K351" s="17"/>
      <c r="N351" s="45"/>
    </row>
    <row r="352" spans="5:14" x14ac:dyDescent="0.2">
      <c r="E352" s="10"/>
      <c r="F352" s="53"/>
      <c r="G352" s="9"/>
      <c r="J352" s="17"/>
      <c r="K352" s="17"/>
      <c r="N352" s="45"/>
    </row>
    <row r="353" spans="5:14" x14ac:dyDescent="0.2">
      <c r="E353" s="10"/>
      <c r="F353" s="53"/>
      <c r="G353" s="9"/>
      <c r="J353" s="17"/>
      <c r="K353" s="17"/>
      <c r="N353" s="45"/>
    </row>
    <row r="354" spans="5:14" x14ac:dyDescent="0.2">
      <c r="E354" s="10"/>
      <c r="F354" s="53"/>
      <c r="G354" s="9"/>
      <c r="J354" s="17"/>
      <c r="K354" s="17"/>
      <c r="N354" s="45"/>
    </row>
    <row r="355" spans="5:14" x14ac:dyDescent="0.2">
      <c r="E355" s="10"/>
      <c r="F355" s="53"/>
      <c r="G355" s="9"/>
      <c r="J355" s="17"/>
      <c r="K355" s="17"/>
      <c r="N355" s="45"/>
    </row>
    <row r="356" spans="5:14" x14ac:dyDescent="0.2">
      <c r="E356" s="10"/>
      <c r="F356" s="53"/>
      <c r="G356" s="9"/>
      <c r="J356" s="17"/>
      <c r="K356" s="17"/>
      <c r="N356" s="45"/>
    </row>
    <row r="357" spans="5:14" x14ac:dyDescent="0.2">
      <c r="E357" s="10"/>
      <c r="F357" s="53"/>
      <c r="G357" s="9"/>
      <c r="J357" s="17"/>
      <c r="K357" s="17"/>
      <c r="N357" s="45"/>
    </row>
    <row r="358" spans="5:14" x14ac:dyDescent="0.2">
      <c r="E358" s="10"/>
      <c r="F358" s="53"/>
      <c r="G358" s="9"/>
      <c r="J358" s="17"/>
      <c r="K358" s="17"/>
      <c r="N358" s="45"/>
    </row>
    <row r="359" spans="5:14" x14ac:dyDescent="0.2">
      <c r="E359" s="10"/>
      <c r="F359" s="53"/>
      <c r="G359" s="9"/>
      <c r="J359" s="17"/>
      <c r="K359" s="17"/>
      <c r="N359" s="45"/>
    </row>
    <row r="360" spans="5:14" x14ac:dyDescent="0.2">
      <c r="E360" s="10"/>
      <c r="F360" s="53"/>
      <c r="G360" s="9"/>
      <c r="J360" s="17"/>
      <c r="K360" s="17"/>
      <c r="N360" s="45"/>
    </row>
    <row r="361" spans="5:14" x14ac:dyDescent="0.2">
      <c r="E361" s="10"/>
      <c r="F361" s="53"/>
      <c r="G361" s="9"/>
      <c r="J361" s="17"/>
      <c r="K361" s="17"/>
      <c r="N361" s="45"/>
    </row>
    <row r="362" spans="5:14" x14ac:dyDescent="0.2">
      <c r="E362" s="10"/>
      <c r="F362" s="53"/>
      <c r="G362" s="9"/>
      <c r="J362" s="17"/>
      <c r="K362" s="17"/>
      <c r="N362" s="45"/>
    </row>
    <row r="363" spans="5:14" x14ac:dyDescent="0.2">
      <c r="E363" s="10"/>
      <c r="F363" s="53"/>
      <c r="G363" s="9"/>
      <c r="J363" s="17"/>
      <c r="K363" s="17"/>
      <c r="N363" s="45"/>
    </row>
    <row r="364" spans="5:14" x14ac:dyDescent="0.2">
      <c r="E364" s="10"/>
      <c r="F364" s="53"/>
      <c r="G364" s="9"/>
      <c r="J364" s="17"/>
      <c r="K364" s="17"/>
      <c r="N364" s="45"/>
    </row>
    <row r="365" spans="5:14" x14ac:dyDescent="0.2">
      <c r="E365" s="10"/>
      <c r="F365" s="53"/>
      <c r="G365" s="9"/>
      <c r="J365" s="17"/>
      <c r="K365" s="17"/>
      <c r="N365" s="45"/>
    </row>
    <row r="366" spans="5:14" x14ac:dyDescent="0.2">
      <c r="E366" s="10"/>
      <c r="F366" s="53"/>
      <c r="G366" s="9"/>
      <c r="J366" s="17"/>
      <c r="K366" s="17"/>
      <c r="N366" s="45"/>
    </row>
    <row r="367" spans="5:14" x14ac:dyDescent="0.2">
      <c r="E367" s="10"/>
      <c r="F367" s="53"/>
      <c r="G367" s="9"/>
      <c r="J367" s="17"/>
      <c r="K367" s="17"/>
      <c r="N367" s="45"/>
    </row>
    <row r="368" spans="5:14" x14ac:dyDescent="0.2">
      <c r="E368" s="10"/>
      <c r="F368" s="53"/>
      <c r="G368" s="9"/>
      <c r="J368" s="17"/>
      <c r="K368" s="17"/>
      <c r="N368" s="45"/>
    </row>
    <row r="369" spans="5:14" x14ac:dyDescent="0.2">
      <c r="E369" s="10"/>
      <c r="F369" s="53"/>
      <c r="G369" s="9"/>
      <c r="J369" s="17"/>
      <c r="K369" s="17"/>
      <c r="N369" s="45"/>
    </row>
    <row r="370" spans="5:14" x14ac:dyDescent="0.2">
      <c r="E370" s="10"/>
      <c r="F370" s="53"/>
      <c r="G370" s="9"/>
      <c r="J370" s="17"/>
      <c r="K370" s="17"/>
      <c r="N370" s="45"/>
    </row>
    <row r="371" spans="5:14" x14ac:dyDescent="0.2">
      <c r="E371" s="10"/>
      <c r="F371" s="53"/>
      <c r="G371" s="9"/>
      <c r="J371" s="17"/>
      <c r="K371" s="17"/>
      <c r="N371" s="45"/>
    </row>
    <row r="372" spans="5:14" x14ac:dyDescent="0.2">
      <c r="E372" s="10"/>
      <c r="F372" s="53"/>
      <c r="G372" s="9"/>
      <c r="J372" s="17"/>
      <c r="K372" s="17"/>
      <c r="N372" s="45"/>
    </row>
    <row r="373" spans="5:14" x14ac:dyDescent="0.2">
      <c r="E373" s="10"/>
      <c r="F373" s="53"/>
      <c r="G373" s="9"/>
      <c r="J373" s="17"/>
      <c r="K373" s="17"/>
      <c r="N373" s="45"/>
    </row>
    <row r="374" spans="5:14" x14ac:dyDescent="0.2">
      <c r="E374" s="10"/>
      <c r="F374" s="53"/>
      <c r="G374" s="9"/>
      <c r="J374" s="17"/>
      <c r="K374" s="17"/>
      <c r="N374" s="45"/>
    </row>
    <row r="375" spans="5:14" x14ac:dyDescent="0.2">
      <c r="E375" s="10"/>
      <c r="F375" s="53"/>
      <c r="G375" s="9"/>
      <c r="J375" s="17"/>
      <c r="K375" s="17"/>
      <c r="N375" s="45"/>
    </row>
    <row r="376" spans="5:14" x14ac:dyDescent="0.2">
      <c r="E376" s="10"/>
      <c r="F376" s="53"/>
      <c r="G376" s="9"/>
      <c r="J376" s="17"/>
      <c r="K376" s="17"/>
      <c r="N376" s="45"/>
    </row>
    <row r="377" spans="5:14" x14ac:dyDescent="0.2">
      <c r="E377" s="10"/>
      <c r="F377" s="53"/>
      <c r="G377" s="9"/>
      <c r="J377" s="17"/>
      <c r="K377" s="17"/>
      <c r="N377" s="45"/>
    </row>
    <row r="378" spans="5:14" x14ac:dyDescent="0.2">
      <c r="E378" s="10"/>
      <c r="F378" s="53"/>
      <c r="G378" s="9"/>
      <c r="J378" s="17"/>
      <c r="K378" s="17"/>
      <c r="N378" s="45"/>
    </row>
    <row r="379" spans="5:14" x14ac:dyDescent="0.2">
      <c r="E379" s="10"/>
      <c r="F379" s="53"/>
      <c r="G379" s="9"/>
      <c r="J379" s="17"/>
      <c r="K379" s="17"/>
      <c r="N379" s="45"/>
    </row>
    <row r="380" spans="5:14" x14ac:dyDescent="0.2">
      <c r="E380" s="10"/>
      <c r="F380" s="53"/>
      <c r="G380" s="9"/>
      <c r="J380" s="17"/>
      <c r="K380" s="17"/>
      <c r="N380" s="45"/>
    </row>
    <row r="381" spans="5:14" x14ac:dyDescent="0.2">
      <c r="E381" s="10"/>
      <c r="F381" s="53"/>
      <c r="G381" s="9"/>
      <c r="J381" s="17"/>
      <c r="K381" s="17"/>
      <c r="N381" s="45"/>
    </row>
    <row r="382" spans="5:14" x14ac:dyDescent="0.2">
      <c r="E382" s="10"/>
      <c r="F382" s="53"/>
      <c r="G382" s="9"/>
      <c r="J382" s="17"/>
      <c r="K382" s="17"/>
      <c r="N382" s="45"/>
    </row>
    <row r="383" spans="5:14" x14ac:dyDescent="0.2">
      <c r="E383" s="10"/>
      <c r="F383" s="53"/>
      <c r="G383" s="9"/>
      <c r="J383" s="17"/>
      <c r="K383" s="17"/>
      <c r="N383" s="45"/>
    </row>
    <row r="384" spans="5:14" x14ac:dyDescent="0.2">
      <c r="E384" s="10"/>
      <c r="F384" s="53"/>
      <c r="G384" s="9"/>
      <c r="J384" s="17"/>
      <c r="K384" s="17"/>
      <c r="N384" s="45"/>
    </row>
    <row r="385" spans="5:14" x14ac:dyDescent="0.2">
      <c r="E385" s="10"/>
      <c r="F385" s="53"/>
      <c r="G385" s="9"/>
      <c r="J385" s="17"/>
      <c r="K385" s="17"/>
      <c r="N385" s="45"/>
    </row>
    <row r="386" spans="5:14" x14ac:dyDescent="0.2">
      <c r="E386" s="10"/>
      <c r="F386" s="53"/>
      <c r="G386" s="9"/>
      <c r="J386" s="17"/>
      <c r="K386" s="17"/>
      <c r="N386" s="45"/>
    </row>
    <row r="387" spans="5:14" x14ac:dyDescent="0.2">
      <c r="E387" s="10"/>
      <c r="F387" s="53"/>
      <c r="G387" s="9"/>
      <c r="J387" s="17"/>
      <c r="K387" s="17"/>
      <c r="N387" s="45"/>
    </row>
    <row r="388" spans="5:14" x14ac:dyDescent="0.2">
      <c r="E388" s="10"/>
      <c r="F388" s="53"/>
      <c r="G388" s="9"/>
      <c r="J388" s="17"/>
      <c r="K388" s="17"/>
      <c r="N388" s="45"/>
    </row>
    <row r="389" spans="5:14" x14ac:dyDescent="0.2">
      <c r="E389" s="10"/>
      <c r="F389" s="53"/>
      <c r="G389" s="9"/>
      <c r="J389" s="17"/>
      <c r="K389" s="17"/>
      <c r="N389" s="45"/>
    </row>
    <row r="390" spans="5:14" x14ac:dyDescent="0.2">
      <c r="E390" s="10"/>
      <c r="F390" s="53"/>
      <c r="G390" s="9"/>
      <c r="J390" s="17"/>
      <c r="K390" s="17"/>
      <c r="N390" s="45"/>
    </row>
    <row r="391" spans="5:14" x14ac:dyDescent="0.2">
      <c r="E391" s="10"/>
      <c r="F391" s="53"/>
      <c r="G391" s="9"/>
      <c r="J391" s="17"/>
      <c r="K391" s="17"/>
      <c r="N391" s="45"/>
    </row>
    <row r="392" spans="5:14" x14ac:dyDescent="0.2">
      <c r="E392" s="10"/>
      <c r="F392" s="53"/>
      <c r="G392" s="9"/>
      <c r="J392" s="17"/>
      <c r="K392" s="17"/>
      <c r="N392" s="45"/>
    </row>
    <row r="393" spans="5:14" x14ac:dyDescent="0.2">
      <c r="E393" s="10"/>
      <c r="F393" s="53"/>
      <c r="G393" s="9"/>
      <c r="J393" s="17"/>
      <c r="K393" s="17"/>
      <c r="N393" s="45"/>
    </row>
    <row r="394" spans="5:14" x14ac:dyDescent="0.2">
      <c r="E394" s="10"/>
      <c r="F394" s="53"/>
      <c r="G394" s="9"/>
      <c r="J394" s="17"/>
      <c r="K394" s="17"/>
      <c r="N394" s="45"/>
    </row>
    <row r="395" spans="5:14" x14ac:dyDescent="0.2">
      <c r="E395" s="10"/>
      <c r="F395" s="53"/>
      <c r="G395" s="9"/>
      <c r="J395" s="17"/>
      <c r="K395" s="17"/>
      <c r="N395" s="45"/>
    </row>
    <row r="396" spans="5:14" x14ac:dyDescent="0.2">
      <c r="E396" s="10"/>
      <c r="F396" s="53"/>
      <c r="G396" s="9"/>
      <c r="J396" s="17"/>
      <c r="K396" s="17"/>
      <c r="N396" s="45"/>
    </row>
    <row r="397" spans="5:14" x14ac:dyDescent="0.2">
      <c r="E397" s="10"/>
      <c r="F397" s="53"/>
      <c r="G397" s="9"/>
      <c r="J397" s="17"/>
      <c r="K397" s="17"/>
      <c r="N397" s="45"/>
    </row>
    <row r="398" spans="5:14" x14ac:dyDescent="0.2">
      <c r="E398" s="10"/>
      <c r="F398" s="53"/>
      <c r="G398" s="9"/>
      <c r="J398" s="17"/>
      <c r="K398" s="17"/>
      <c r="N398" s="45"/>
    </row>
    <row r="399" spans="5:14" x14ac:dyDescent="0.2">
      <c r="E399" s="10"/>
      <c r="F399" s="53"/>
      <c r="G399" s="9"/>
      <c r="J399" s="17"/>
      <c r="K399" s="17"/>
      <c r="N399" s="45"/>
    </row>
    <row r="400" spans="5:14" x14ac:dyDescent="0.2">
      <c r="E400" s="10"/>
      <c r="F400" s="53"/>
      <c r="G400" s="9"/>
      <c r="J400" s="17"/>
      <c r="K400" s="17"/>
      <c r="N400" s="45"/>
    </row>
    <row r="401" spans="5:14" x14ac:dyDescent="0.2">
      <c r="E401" s="10"/>
      <c r="F401" s="53"/>
      <c r="G401" s="9"/>
      <c r="J401" s="17"/>
      <c r="K401" s="17"/>
      <c r="N401" s="45"/>
    </row>
    <row r="402" spans="5:14" x14ac:dyDescent="0.2">
      <c r="E402" s="10"/>
      <c r="F402" s="53"/>
      <c r="G402" s="9"/>
      <c r="J402" s="17"/>
      <c r="K402" s="17"/>
      <c r="N402" s="45"/>
    </row>
    <row r="403" spans="5:14" x14ac:dyDescent="0.2">
      <c r="E403" s="10"/>
      <c r="F403" s="53"/>
      <c r="G403" s="9"/>
      <c r="J403" s="17"/>
      <c r="K403" s="17"/>
      <c r="N403" s="45"/>
    </row>
    <row r="404" spans="5:14" x14ac:dyDescent="0.2">
      <c r="E404" s="10"/>
      <c r="F404" s="53"/>
      <c r="G404" s="9"/>
      <c r="J404" s="17"/>
      <c r="K404" s="17"/>
      <c r="N404" s="45"/>
    </row>
    <row r="405" spans="5:14" x14ac:dyDescent="0.2">
      <c r="E405" s="10"/>
      <c r="F405" s="53"/>
      <c r="G405" s="9"/>
      <c r="J405" s="17"/>
      <c r="K405" s="17"/>
      <c r="N405" s="45"/>
    </row>
    <row r="406" spans="5:14" x14ac:dyDescent="0.2">
      <c r="E406" s="10"/>
      <c r="F406" s="53"/>
      <c r="G406" s="9"/>
      <c r="J406" s="17"/>
      <c r="K406" s="17"/>
      <c r="N406" s="45"/>
    </row>
    <row r="407" spans="5:14" x14ac:dyDescent="0.2">
      <c r="E407" s="10"/>
      <c r="F407" s="53"/>
      <c r="G407" s="9"/>
      <c r="J407" s="17"/>
      <c r="K407" s="17"/>
      <c r="N407" s="45"/>
    </row>
    <row r="408" spans="5:14" x14ac:dyDescent="0.2">
      <c r="E408" s="10"/>
      <c r="F408" s="53"/>
      <c r="G408" s="9"/>
      <c r="J408" s="17"/>
      <c r="K408" s="17"/>
      <c r="N408" s="45"/>
    </row>
    <row r="409" spans="5:14" x14ac:dyDescent="0.2">
      <c r="E409" s="10"/>
      <c r="F409" s="53"/>
      <c r="G409" s="9"/>
      <c r="J409" s="17"/>
      <c r="K409" s="17"/>
      <c r="N409" s="45"/>
    </row>
    <row r="410" spans="5:14" x14ac:dyDescent="0.2">
      <c r="E410" s="10"/>
      <c r="F410" s="53"/>
      <c r="G410" s="9"/>
      <c r="J410" s="17"/>
      <c r="K410" s="17"/>
      <c r="N410" s="45"/>
    </row>
    <row r="411" spans="5:14" x14ac:dyDescent="0.2">
      <c r="E411" s="10"/>
      <c r="F411" s="53"/>
      <c r="G411" s="9"/>
      <c r="J411" s="17"/>
      <c r="K411" s="17"/>
      <c r="N411" s="45"/>
    </row>
    <row r="412" spans="5:14" x14ac:dyDescent="0.2">
      <c r="E412" s="10"/>
      <c r="F412" s="53"/>
      <c r="G412" s="9"/>
      <c r="J412" s="17"/>
      <c r="K412" s="17"/>
      <c r="N412" s="45"/>
    </row>
    <row r="413" spans="5:14" x14ac:dyDescent="0.2">
      <c r="E413" s="10"/>
      <c r="F413" s="53"/>
      <c r="G413" s="9"/>
      <c r="J413" s="17"/>
      <c r="K413" s="17"/>
      <c r="N413" s="45"/>
    </row>
    <row r="414" spans="5:14" x14ac:dyDescent="0.2">
      <c r="E414" s="10"/>
      <c r="F414" s="53"/>
      <c r="G414" s="9"/>
      <c r="J414" s="17"/>
      <c r="K414" s="17"/>
      <c r="N414" s="45"/>
    </row>
    <row r="415" spans="5:14" x14ac:dyDescent="0.2">
      <c r="E415" s="10"/>
      <c r="F415" s="53"/>
      <c r="G415" s="9"/>
      <c r="J415" s="17"/>
      <c r="K415" s="17"/>
      <c r="N415" s="45"/>
    </row>
    <row r="416" spans="5:14" x14ac:dyDescent="0.2">
      <c r="E416" s="10"/>
      <c r="F416" s="53"/>
      <c r="G416" s="9"/>
      <c r="J416" s="17"/>
      <c r="K416" s="17"/>
      <c r="N416" s="45"/>
    </row>
    <row r="417" spans="5:14" x14ac:dyDescent="0.2">
      <c r="E417" s="10"/>
      <c r="F417" s="53"/>
      <c r="G417" s="9"/>
      <c r="J417" s="17"/>
      <c r="K417" s="17"/>
      <c r="N417" s="45"/>
    </row>
    <row r="418" spans="5:14" x14ac:dyDescent="0.2">
      <c r="E418" s="10"/>
      <c r="F418" s="53"/>
      <c r="G418" s="9"/>
      <c r="J418" s="17"/>
      <c r="K418" s="17"/>
      <c r="N418" s="45"/>
    </row>
    <row r="419" spans="5:14" x14ac:dyDescent="0.2">
      <c r="E419" s="10"/>
      <c r="F419" s="53"/>
      <c r="G419" s="9"/>
      <c r="J419" s="17"/>
      <c r="K419" s="17"/>
      <c r="N419" s="45"/>
    </row>
    <row r="420" spans="5:14" x14ac:dyDescent="0.2">
      <c r="E420" s="10"/>
      <c r="F420" s="53"/>
      <c r="G420" s="9"/>
      <c r="J420" s="17"/>
      <c r="K420" s="17"/>
      <c r="N420" s="45"/>
    </row>
    <row r="421" spans="5:14" x14ac:dyDescent="0.2">
      <c r="E421" s="10"/>
      <c r="F421" s="53"/>
      <c r="G421" s="9"/>
      <c r="J421" s="17"/>
      <c r="K421" s="17"/>
      <c r="N421" s="45"/>
    </row>
    <row r="422" spans="5:14" x14ac:dyDescent="0.2">
      <c r="E422" s="10"/>
      <c r="F422" s="53"/>
      <c r="G422" s="9"/>
      <c r="J422" s="17"/>
      <c r="K422" s="17"/>
      <c r="N422" s="45"/>
    </row>
    <row r="423" spans="5:14" x14ac:dyDescent="0.2">
      <c r="E423" s="10"/>
      <c r="F423" s="53"/>
      <c r="G423" s="9"/>
      <c r="J423" s="17"/>
      <c r="K423" s="17"/>
      <c r="N423" s="45"/>
    </row>
    <row r="424" spans="5:14" x14ac:dyDescent="0.2">
      <c r="E424" s="10"/>
      <c r="F424" s="53"/>
      <c r="G424" s="9"/>
      <c r="J424" s="17"/>
      <c r="K424" s="17"/>
      <c r="N424" s="45"/>
    </row>
    <row r="425" spans="5:14" x14ac:dyDescent="0.2">
      <c r="E425" s="10"/>
      <c r="F425" s="53"/>
      <c r="G425" s="9"/>
      <c r="J425" s="17"/>
      <c r="K425" s="17"/>
      <c r="N425" s="45"/>
    </row>
    <row r="426" spans="5:14" x14ac:dyDescent="0.2">
      <c r="E426" s="10"/>
      <c r="F426" s="53"/>
      <c r="G426" s="9"/>
      <c r="J426" s="17"/>
      <c r="K426" s="17"/>
      <c r="N426" s="45"/>
    </row>
    <row r="427" spans="5:14" x14ac:dyDescent="0.2">
      <c r="E427" s="10"/>
      <c r="F427" s="53"/>
      <c r="G427" s="9"/>
      <c r="J427" s="17"/>
      <c r="K427" s="17"/>
      <c r="N427" s="45"/>
    </row>
    <row r="428" spans="5:14" x14ac:dyDescent="0.2">
      <c r="E428" s="10"/>
      <c r="F428" s="53"/>
      <c r="G428" s="9"/>
      <c r="J428" s="17"/>
      <c r="K428" s="17"/>
      <c r="N428" s="45"/>
    </row>
    <row r="429" spans="5:14" x14ac:dyDescent="0.2">
      <c r="E429" s="10"/>
      <c r="F429" s="53"/>
      <c r="G429" s="9"/>
      <c r="J429" s="17"/>
      <c r="K429" s="17"/>
      <c r="N429" s="45"/>
    </row>
    <row r="430" spans="5:14" x14ac:dyDescent="0.2">
      <c r="E430" s="10"/>
      <c r="F430" s="53"/>
      <c r="G430" s="9"/>
      <c r="J430" s="17"/>
      <c r="K430" s="17"/>
      <c r="N430" s="45"/>
    </row>
    <row r="431" spans="5:14" x14ac:dyDescent="0.2">
      <c r="E431" s="10"/>
      <c r="F431" s="53"/>
      <c r="G431" s="9"/>
      <c r="J431" s="17"/>
      <c r="K431" s="17"/>
      <c r="N431" s="45"/>
    </row>
    <row r="432" spans="5:14" x14ac:dyDescent="0.2">
      <c r="E432" s="10"/>
      <c r="F432" s="53"/>
      <c r="G432" s="9"/>
      <c r="J432" s="17"/>
      <c r="K432" s="17"/>
      <c r="N432" s="45"/>
    </row>
    <row r="433" spans="5:14" x14ac:dyDescent="0.2">
      <c r="E433" s="10"/>
      <c r="F433" s="53"/>
      <c r="G433" s="9"/>
      <c r="J433" s="17"/>
      <c r="K433" s="17"/>
      <c r="N433" s="45"/>
    </row>
    <row r="434" spans="5:14" x14ac:dyDescent="0.2">
      <c r="E434" s="10"/>
      <c r="F434" s="53"/>
      <c r="G434" s="9"/>
      <c r="J434" s="17"/>
      <c r="K434" s="17"/>
      <c r="N434" s="45"/>
    </row>
    <row r="435" spans="5:14" x14ac:dyDescent="0.2">
      <c r="E435" s="10"/>
      <c r="F435" s="53"/>
      <c r="G435" s="9"/>
      <c r="J435" s="17"/>
      <c r="K435" s="17"/>
      <c r="N435" s="45"/>
    </row>
    <row r="436" spans="5:14" x14ac:dyDescent="0.2">
      <c r="E436" s="10"/>
      <c r="F436" s="53"/>
      <c r="G436" s="9"/>
      <c r="J436" s="17"/>
      <c r="K436" s="17"/>
      <c r="N436" s="45"/>
    </row>
    <row r="437" spans="5:14" x14ac:dyDescent="0.2">
      <c r="E437" s="10"/>
      <c r="F437" s="53"/>
      <c r="G437" s="9"/>
      <c r="J437" s="17"/>
      <c r="K437" s="17"/>
      <c r="N437" s="45"/>
    </row>
    <row r="438" spans="5:14" x14ac:dyDescent="0.2">
      <c r="E438" s="10"/>
      <c r="F438" s="53"/>
      <c r="G438" s="9"/>
      <c r="J438" s="17"/>
      <c r="K438" s="17"/>
      <c r="N438" s="45"/>
    </row>
    <row r="439" spans="5:14" x14ac:dyDescent="0.2">
      <c r="E439" s="10"/>
      <c r="F439" s="53"/>
      <c r="G439" s="9"/>
      <c r="J439" s="17"/>
      <c r="K439" s="17"/>
      <c r="N439" s="45"/>
    </row>
    <row r="440" spans="5:14" x14ac:dyDescent="0.2">
      <c r="E440" s="10"/>
      <c r="F440" s="53"/>
      <c r="G440" s="9"/>
      <c r="J440" s="17"/>
      <c r="K440" s="17"/>
      <c r="N440" s="45"/>
    </row>
    <row r="441" spans="5:14" x14ac:dyDescent="0.2">
      <c r="E441" s="10"/>
      <c r="F441" s="53"/>
      <c r="G441" s="9"/>
      <c r="J441" s="17"/>
      <c r="K441" s="17"/>
      <c r="N441" s="45"/>
    </row>
    <row r="442" spans="5:14" x14ac:dyDescent="0.2">
      <c r="E442" s="10"/>
      <c r="F442" s="53"/>
      <c r="G442" s="9"/>
      <c r="J442" s="17"/>
      <c r="K442" s="17"/>
      <c r="N442" s="45"/>
    </row>
    <row r="443" spans="5:14" x14ac:dyDescent="0.2">
      <c r="E443" s="10"/>
      <c r="F443" s="53"/>
      <c r="G443" s="9"/>
      <c r="J443" s="17"/>
      <c r="K443" s="17"/>
      <c r="N443" s="45"/>
    </row>
    <row r="444" spans="5:14" x14ac:dyDescent="0.2">
      <c r="E444" s="10"/>
      <c r="F444" s="53"/>
      <c r="G444" s="9"/>
      <c r="J444" s="17"/>
      <c r="K444" s="17"/>
      <c r="N444" s="45"/>
    </row>
    <row r="445" spans="5:14" x14ac:dyDescent="0.2">
      <c r="E445" s="10"/>
      <c r="F445" s="53"/>
      <c r="G445" s="9"/>
      <c r="J445" s="17"/>
      <c r="K445" s="17"/>
      <c r="N445" s="45"/>
    </row>
    <row r="446" spans="5:14" x14ac:dyDescent="0.2">
      <c r="E446" s="10"/>
      <c r="F446" s="53"/>
      <c r="G446" s="9"/>
      <c r="J446" s="17"/>
      <c r="K446" s="17"/>
      <c r="N446" s="45"/>
    </row>
    <row r="447" spans="5:14" x14ac:dyDescent="0.2">
      <c r="E447" s="10"/>
      <c r="F447" s="53"/>
      <c r="G447" s="9"/>
      <c r="J447" s="17"/>
      <c r="K447" s="17"/>
      <c r="N447" s="45"/>
    </row>
    <row r="448" spans="5:14" x14ac:dyDescent="0.2">
      <c r="E448" s="10"/>
      <c r="F448" s="53"/>
      <c r="G448" s="9"/>
      <c r="J448" s="17"/>
      <c r="K448" s="17"/>
      <c r="N448" s="45"/>
    </row>
    <row r="449" spans="5:14" x14ac:dyDescent="0.2">
      <c r="E449" s="10"/>
      <c r="F449" s="53"/>
      <c r="G449" s="9"/>
      <c r="J449" s="17"/>
      <c r="K449" s="17"/>
      <c r="N449" s="45"/>
    </row>
    <row r="450" spans="5:14" x14ac:dyDescent="0.2">
      <c r="E450" s="10"/>
      <c r="F450" s="53"/>
      <c r="G450" s="9"/>
      <c r="J450" s="17"/>
      <c r="K450" s="17"/>
      <c r="N450" s="45"/>
    </row>
    <row r="451" spans="5:14" x14ac:dyDescent="0.2">
      <c r="E451" s="10"/>
      <c r="F451" s="53"/>
      <c r="G451" s="9"/>
      <c r="J451" s="17"/>
      <c r="K451" s="17"/>
      <c r="N451" s="45"/>
    </row>
    <row r="452" spans="5:14" x14ac:dyDescent="0.2">
      <c r="E452" s="10"/>
      <c r="F452" s="53"/>
      <c r="G452" s="9"/>
      <c r="J452" s="17"/>
      <c r="K452" s="17"/>
      <c r="N452" s="45"/>
    </row>
    <row r="453" spans="5:14" x14ac:dyDescent="0.2">
      <c r="E453" s="10"/>
      <c r="F453" s="53"/>
      <c r="G453" s="9"/>
      <c r="J453" s="17"/>
      <c r="K453" s="17"/>
      <c r="N453" s="45"/>
    </row>
    <row r="454" spans="5:14" x14ac:dyDescent="0.2">
      <c r="E454" s="10"/>
      <c r="F454" s="53"/>
      <c r="G454" s="9"/>
      <c r="J454" s="17"/>
      <c r="K454" s="17"/>
      <c r="N454" s="45"/>
    </row>
    <row r="455" spans="5:14" x14ac:dyDescent="0.2">
      <c r="E455" s="10"/>
      <c r="F455" s="53"/>
      <c r="G455" s="9"/>
      <c r="J455" s="17"/>
      <c r="K455" s="17"/>
      <c r="N455" s="45"/>
    </row>
    <row r="456" spans="5:14" x14ac:dyDescent="0.2">
      <c r="E456" s="10"/>
      <c r="F456" s="53"/>
      <c r="G456" s="9"/>
      <c r="J456" s="17"/>
      <c r="K456" s="17"/>
      <c r="N456" s="45"/>
    </row>
    <row r="457" spans="5:14" x14ac:dyDescent="0.2">
      <c r="E457" s="10"/>
      <c r="F457" s="53"/>
      <c r="G457" s="9"/>
      <c r="J457" s="17"/>
      <c r="K457" s="17"/>
      <c r="N457" s="45"/>
    </row>
    <row r="458" spans="5:14" x14ac:dyDescent="0.2">
      <c r="E458" s="10"/>
      <c r="F458" s="53"/>
      <c r="G458" s="9"/>
      <c r="J458" s="17"/>
      <c r="K458" s="17"/>
      <c r="N458" s="45"/>
    </row>
    <row r="459" spans="5:14" x14ac:dyDescent="0.2">
      <c r="E459" s="10"/>
      <c r="F459" s="53"/>
      <c r="G459" s="9"/>
      <c r="J459" s="17"/>
      <c r="K459" s="17"/>
      <c r="N459" s="45"/>
    </row>
    <row r="460" spans="5:14" x14ac:dyDescent="0.2">
      <c r="E460" s="10"/>
      <c r="F460" s="53"/>
      <c r="G460" s="9"/>
      <c r="J460" s="17"/>
      <c r="K460" s="17"/>
      <c r="N460" s="45"/>
    </row>
    <row r="461" spans="5:14" x14ac:dyDescent="0.2">
      <c r="E461" s="10"/>
      <c r="F461" s="53"/>
      <c r="G461" s="9"/>
      <c r="J461" s="17"/>
      <c r="K461" s="17"/>
      <c r="N461" s="45"/>
    </row>
    <row r="462" spans="5:14" x14ac:dyDescent="0.2">
      <c r="E462" s="10"/>
      <c r="F462" s="53"/>
      <c r="G462" s="9"/>
      <c r="J462" s="17"/>
      <c r="K462" s="17"/>
      <c r="N462" s="45"/>
    </row>
    <row r="463" spans="5:14" x14ac:dyDescent="0.2">
      <c r="E463" s="10"/>
      <c r="F463" s="53"/>
      <c r="G463" s="9"/>
      <c r="J463" s="17"/>
      <c r="K463" s="17"/>
      <c r="N463" s="45"/>
    </row>
    <row r="464" spans="5:14" x14ac:dyDescent="0.2">
      <c r="E464" s="10"/>
      <c r="F464" s="53"/>
      <c r="G464" s="9"/>
      <c r="J464" s="17"/>
      <c r="K464" s="17"/>
      <c r="N464" s="45"/>
    </row>
    <row r="465" spans="5:14" x14ac:dyDescent="0.2">
      <c r="E465" s="10"/>
      <c r="F465" s="53"/>
      <c r="G465" s="9"/>
      <c r="J465" s="17"/>
      <c r="K465" s="17"/>
      <c r="N465" s="45"/>
    </row>
    <row r="466" spans="5:14" x14ac:dyDescent="0.2">
      <c r="E466" s="10"/>
      <c r="F466" s="53"/>
      <c r="G466" s="9"/>
      <c r="J466" s="17"/>
      <c r="K466" s="17"/>
      <c r="N466" s="45"/>
    </row>
    <row r="467" spans="5:14" x14ac:dyDescent="0.2">
      <c r="E467" s="10"/>
      <c r="F467" s="53"/>
      <c r="G467" s="9"/>
      <c r="J467" s="17"/>
      <c r="K467" s="17"/>
      <c r="N467" s="45"/>
    </row>
    <row r="468" spans="5:14" x14ac:dyDescent="0.2">
      <c r="E468" s="10"/>
      <c r="F468" s="53"/>
      <c r="G468" s="9"/>
      <c r="J468" s="17"/>
      <c r="K468" s="17"/>
      <c r="N468" s="45"/>
    </row>
    <row r="469" spans="5:14" x14ac:dyDescent="0.2">
      <c r="E469" s="10"/>
      <c r="F469" s="53"/>
      <c r="G469" s="9"/>
      <c r="J469" s="17"/>
      <c r="K469" s="17"/>
      <c r="N469" s="45"/>
    </row>
    <row r="470" spans="5:14" x14ac:dyDescent="0.2">
      <c r="E470" s="10"/>
      <c r="F470" s="53"/>
      <c r="G470" s="9"/>
      <c r="J470" s="17"/>
      <c r="K470" s="17"/>
      <c r="N470" s="45"/>
    </row>
    <row r="471" spans="5:14" x14ac:dyDescent="0.2">
      <c r="E471" s="10"/>
      <c r="F471" s="53"/>
      <c r="G471" s="9"/>
      <c r="J471" s="17"/>
      <c r="K471" s="17"/>
      <c r="N471" s="45"/>
    </row>
    <row r="472" spans="5:14" x14ac:dyDescent="0.2">
      <c r="E472" s="10"/>
      <c r="F472" s="53"/>
      <c r="G472" s="9"/>
      <c r="J472" s="17"/>
      <c r="K472" s="17"/>
      <c r="N472" s="45"/>
    </row>
    <row r="473" spans="5:14" x14ac:dyDescent="0.2">
      <c r="E473" s="10"/>
      <c r="F473" s="53"/>
      <c r="G473" s="9"/>
      <c r="J473" s="17"/>
      <c r="K473" s="17"/>
      <c r="N473" s="45"/>
    </row>
    <row r="474" spans="5:14" x14ac:dyDescent="0.2">
      <c r="E474" s="10"/>
      <c r="F474" s="53"/>
      <c r="G474" s="9"/>
      <c r="J474" s="17"/>
      <c r="K474" s="17"/>
      <c r="N474" s="45"/>
    </row>
    <row r="475" spans="5:14" x14ac:dyDescent="0.2">
      <c r="E475" s="10"/>
      <c r="F475" s="53"/>
      <c r="G475" s="9"/>
      <c r="J475" s="17"/>
      <c r="K475" s="17"/>
      <c r="N475" s="45"/>
    </row>
    <row r="476" spans="5:14" x14ac:dyDescent="0.2">
      <c r="E476" s="10"/>
      <c r="F476" s="53"/>
      <c r="G476" s="9"/>
      <c r="J476" s="17"/>
      <c r="K476" s="17"/>
      <c r="N476" s="45"/>
    </row>
    <row r="477" spans="5:14" x14ac:dyDescent="0.2">
      <c r="E477" s="10"/>
      <c r="F477" s="53"/>
      <c r="G477" s="9"/>
      <c r="J477" s="17"/>
      <c r="K477" s="17"/>
      <c r="N477" s="45"/>
    </row>
    <row r="478" spans="5:14" x14ac:dyDescent="0.2">
      <c r="E478" s="10"/>
      <c r="F478" s="53"/>
      <c r="G478" s="9"/>
      <c r="J478" s="17"/>
      <c r="K478" s="17"/>
      <c r="N478" s="45"/>
    </row>
    <row r="479" spans="5:14" x14ac:dyDescent="0.2">
      <c r="E479" s="10"/>
      <c r="F479" s="53"/>
      <c r="G479" s="9"/>
      <c r="J479" s="17"/>
      <c r="K479" s="17"/>
      <c r="N479" s="45"/>
    </row>
    <row r="480" spans="5:14" x14ac:dyDescent="0.2">
      <c r="E480" s="10"/>
      <c r="F480" s="53"/>
      <c r="G480" s="9"/>
      <c r="J480" s="17"/>
      <c r="K480" s="17"/>
      <c r="N480" s="45"/>
    </row>
    <row r="481" spans="5:14" x14ac:dyDescent="0.2">
      <c r="E481" s="10"/>
      <c r="F481" s="53"/>
      <c r="G481" s="9"/>
      <c r="J481" s="17"/>
      <c r="K481" s="17"/>
      <c r="N481" s="45"/>
    </row>
    <row r="482" spans="5:14" x14ac:dyDescent="0.2">
      <c r="E482" s="10"/>
      <c r="F482" s="53"/>
      <c r="G482" s="9"/>
      <c r="J482" s="17"/>
      <c r="K482" s="17"/>
      <c r="N482" s="45"/>
    </row>
    <row r="483" spans="5:14" x14ac:dyDescent="0.2">
      <c r="E483" s="10"/>
      <c r="F483" s="53"/>
      <c r="G483" s="9"/>
      <c r="J483" s="17"/>
      <c r="K483" s="17"/>
      <c r="N483" s="45"/>
    </row>
    <row r="484" spans="5:14" x14ac:dyDescent="0.2">
      <c r="E484" s="10"/>
      <c r="F484" s="53"/>
      <c r="G484" s="9"/>
      <c r="J484" s="17"/>
      <c r="K484" s="17"/>
      <c r="N484" s="45"/>
    </row>
    <row r="485" spans="5:14" x14ac:dyDescent="0.2">
      <c r="E485" s="10"/>
      <c r="F485" s="53"/>
      <c r="G485" s="9"/>
      <c r="J485" s="17"/>
      <c r="K485" s="17"/>
      <c r="N485" s="45"/>
    </row>
    <row r="486" spans="5:14" x14ac:dyDescent="0.2">
      <c r="E486" s="10"/>
      <c r="F486" s="53"/>
      <c r="G486" s="9"/>
      <c r="J486" s="17"/>
      <c r="K486" s="17"/>
      <c r="N486" s="45"/>
    </row>
    <row r="487" spans="5:14" x14ac:dyDescent="0.2">
      <c r="E487" s="10"/>
      <c r="F487" s="53"/>
      <c r="G487" s="9"/>
      <c r="J487" s="17"/>
      <c r="K487" s="17"/>
      <c r="N487" s="45"/>
    </row>
    <row r="488" spans="5:14" x14ac:dyDescent="0.2">
      <c r="E488" s="10"/>
      <c r="F488" s="53"/>
      <c r="G488" s="9"/>
      <c r="J488" s="17"/>
      <c r="K488" s="17"/>
      <c r="N488" s="45"/>
    </row>
    <row r="489" spans="5:14" x14ac:dyDescent="0.2">
      <c r="E489" s="10"/>
      <c r="F489" s="53"/>
      <c r="G489" s="9"/>
      <c r="J489" s="17"/>
      <c r="K489" s="17"/>
      <c r="N489" s="45"/>
    </row>
    <row r="490" spans="5:14" x14ac:dyDescent="0.2">
      <c r="E490" s="10"/>
      <c r="F490" s="53"/>
      <c r="G490" s="9"/>
      <c r="J490" s="17"/>
      <c r="K490" s="17"/>
      <c r="N490" s="45"/>
    </row>
    <row r="491" spans="5:14" x14ac:dyDescent="0.2">
      <c r="E491" s="10"/>
      <c r="F491" s="53"/>
      <c r="G491" s="9"/>
      <c r="J491" s="17"/>
      <c r="K491" s="17"/>
      <c r="N491" s="45"/>
    </row>
    <row r="492" spans="5:14" x14ac:dyDescent="0.2">
      <c r="E492" s="10"/>
      <c r="F492" s="53"/>
      <c r="G492" s="9"/>
      <c r="J492" s="17"/>
      <c r="K492" s="17"/>
      <c r="N492" s="45"/>
    </row>
    <row r="493" spans="5:14" x14ac:dyDescent="0.2">
      <c r="E493" s="10"/>
      <c r="F493" s="53"/>
      <c r="G493" s="9"/>
      <c r="J493" s="17"/>
      <c r="K493" s="17"/>
      <c r="N493" s="45"/>
    </row>
    <row r="494" spans="5:14" x14ac:dyDescent="0.2">
      <c r="E494" s="10"/>
      <c r="F494" s="53"/>
      <c r="G494" s="9"/>
      <c r="J494" s="17"/>
      <c r="K494" s="17"/>
      <c r="N494" s="45"/>
    </row>
    <row r="495" spans="5:14" x14ac:dyDescent="0.2">
      <c r="E495" s="10"/>
      <c r="F495" s="53"/>
      <c r="G495" s="9"/>
      <c r="J495" s="17"/>
      <c r="K495" s="17"/>
      <c r="N495" s="45"/>
    </row>
    <row r="496" spans="5:14" x14ac:dyDescent="0.2">
      <c r="E496" s="10"/>
      <c r="F496" s="53"/>
      <c r="G496" s="9"/>
      <c r="J496" s="17"/>
      <c r="K496" s="17"/>
      <c r="N496" s="45"/>
    </row>
    <row r="497" spans="5:14" x14ac:dyDescent="0.2">
      <c r="E497" s="10"/>
      <c r="F497" s="53"/>
      <c r="G497" s="9"/>
      <c r="J497" s="17"/>
      <c r="K497" s="17"/>
      <c r="N497" s="45"/>
    </row>
    <row r="498" spans="5:14" x14ac:dyDescent="0.2">
      <c r="E498" s="10"/>
      <c r="F498" s="53"/>
      <c r="G498" s="9"/>
      <c r="J498" s="17"/>
      <c r="K498" s="17"/>
      <c r="N498" s="45"/>
    </row>
    <row r="499" spans="5:14" x14ac:dyDescent="0.2">
      <c r="E499" s="10"/>
      <c r="F499" s="53"/>
      <c r="G499" s="9"/>
      <c r="J499" s="17"/>
      <c r="K499" s="17"/>
      <c r="N499" s="45"/>
    </row>
    <row r="500" spans="5:14" x14ac:dyDescent="0.2">
      <c r="E500" s="10"/>
      <c r="F500" s="53"/>
      <c r="G500" s="9"/>
      <c r="J500" s="17"/>
      <c r="K500" s="17"/>
      <c r="N500" s="45"/>
    </row>
    <row r="501" spans="5:14" x14ac:dyDescent="0.2">
      <c r="E501" s="10"/>
      <c r="F501" s="53"/>
      <c r="G501" s="9"/>
      <c r="J501" s="17"/>
      <c r="K501" s="17"/>
      <c r="N501" s="45"/>
    </row>
    <row r="502" spans="5:14" x14ac:dyDescent="0.2">
      <c r="E502" s="10"/>
      <c r="F502" s="53"/>
      <c r="G502" s="9"/>
      <c r="J502" s="17"/>
      <c r="K502" s="17"/>
      <c r="N502" s="45"/>
    </row>
    <row r="503" spans="5:14" x14ac:dyDescent="0.2">
      <c r="E503" s="10"/>
      <c r="F503" s="53"/>
      <c r="G503" s="9"/>
      <c r="J503" s="17"/>
      <c r="K503" s="17"/>
      <c r="N503" s="45"/>
    </row>
    <row r="504" spans="5:14" x14ac:dyDescent="0.2">
      <c r="E504" s="10"/>
      <c r="F504" s="53"/>
      <c r="G504" s="9"/>
      <c r="J504" s="17"/>
      <c r="K504" s="17"/>
      <c r="N504" s="45"/>
    </row>
    <row r="505" spans="5:14" x14ac:dyDescent="0.2">
      <c r="E505" s="10"/>
      <c r="F505" s="53"/>
      <c r="G505" s="9"/>
      <c r="J505" s="17"/>
      <c r="K505" s="17"/>
      <c r="N505" s="45"/>
    </row>
    <row r="506" spans="5:14" x14ac:dyDescent="0.2">
      <c r="E506" s="10"/>
      <c r="F506" s="53"/>
      <c r="G506" s="9"/>
      <c r="J506" s="17"/>
      <c r="K506" s="17"/>
      <c r="N506" s="45"/>
    </row>
    <row r="507" spans="5:14" x14ac:dyDescent="0.2">
      <c r="E507" s="10"/>
      <c r="F507" s="53"/>
      <c r="G507" s="9"/>
      <c r="J507" s="17"/>
      <c r="K507" s="17"/>
      <c r="N507" s="45"/>
    </row>
    <row r="508" spans="5:14" x14ac:dyDescent="0.2">
      <c r="E508" s="10"/>
      <c r="F508" s="53"/>
      <c r="G508" s="9"/>
      <c r="J508" s="17"/>
      <c r="K508" s="17"/>
      <c r="N508" s="45"/>
    </row>
    <row r="509" spans="5:14" x14ac:dyDescent="0.2">
      <c r="E509" s="10"/>
      <c r="F509" s="53"/>
      <c r="G509" s="9"/>
      <c r="J509" s="17"/>
      <c r="K509" s="17"/>
      <c r="N509" s="45"/>
    </row>
    <row r="510" spans="5:14" x14ac:dyDescent="0.2">
      <c r="E510" s="10"/>
      <c r="F510" s="53"/>
      <c r="G510" s="9"/>
      <c r="J510" s="17"/>
      <c r="K510" s="17"/>
      <c r="N510" s="45"/>
    </row>
    <row r="511" spans="5:14" x14ac:dyDescent="0.2">
      <c r="E511" s="10"/>
      <c r="F511" s="53"/>
      <c r="G511" s="9"/>
      <c r="J511" s="17"/>
      <c r="K511" s="17"/>
      <c r="N511" s="45"/>
    </row>
    <row r="512" spans="5:14" x14ac:dyDescent="0.2">
      <c r="E512" s="10"/>
      <c r="F512" s="53"/>
      <c r="G512" s="9"/>
      <c r="J512" s="17"/>
      <c r="K512" s="17"/>
      <c r="N512" s="45"/>
    </row>
    <row r="513" spans="5:14" x14ac:dyDescent="0.2">
      <c r="E513" s="10"/>
      <c r="F513" s="53"/>
      <c r="G513" s="9"/>
      <c r="J513" s="17"/>
      <c r="K513" s="17"/>
      <c r="N513" s="45"/>
    </row>
    <row r="514" spans="5:14" x14ac:dyDescent="0.2">
      <c r="E514" s="10"/>
      <c r="F514" s="53"/>
      <c r="G514" s="9"/>
      <c r="J514" s="17"/>
      <c r="K514" s="17"/>
      <c r="N514" s="45"/>
    </row>
    <row r="515" spans="5:14" x14ac:dyDescent="0.2">
      <c r="E515" s="10"/>
      <c r="F515" s="53"/>
      <c r="G515" s="9"/>
      <c r="J515" s="17"/>
      <c r="K515" s="17"/>
      <c r="N515" s="45"/>
    </row>
    <row r="516" spans="5:14" x14ac:dyDescent="0.2">
      <c r="E516" s="10"/>
      <c r="F516" s="53"/>
      <c r="G516" s="9"/>
      <c r="J516" s="17"/>
      <c r="K516" s="17"/>
      <c r="N516" s="45"/>
    </row>
    <row r="517" spans="5:14" x14ac:dyDescent="0.2">
      <c r="E517" s="10"/>
      <c r="F517" s="53"/>
      <c r="G517" s="9"/>
      <c r="J517" s="17"/>
      <c r="K517" s="17"/>
      <c r="N517" s="45"/>
    </row>
    <row r="518" spans="5:14" x14ac:dyDescent="0.2">
      <c r="E518" s="10"/>
      <c r="F518" s="53"/>
      <c r="G518" s="9"/>
      <c r="J518" s="17"/>
      <c r="K518" s="17"/>
      <c r="N518" s="45"/>
    </row>
    <row r="519" spans="5:14" x14ac:dyDescent="0.2">
      <c r="E519" s="10"/>
      <c r="F519" s="53"/>
      <c r="G519" s="9"/>
      <c r="J519" s="17"/>
      <c r="K519" s="17"/>
      <c r="N519" s="45"/>
    </row>
    <row r="520" spans="5:14" x14ac:dyDescent="0.2">
      <c r="E520" s="10"/>
      <c r="F520" s="53"/>
      <c r="G520" s="9"/>
      <c r="J520" s="17"/>
      <c r="K520" s="17"/>
      <c r="N520" s="45"/>
    </row>
    <row r="521" spans="5:14" x14ac:dyDescent="0.2">
      <c r="E521" s="10"/>
      <c r="F521" s="53"/>
      <c r="G521" s="9"/>
      <c r="J521" s="17"/>
      <c r="K521" s="17"/>
      <c r="N521" s="45"/>
    </row>
    <row r="522" spans="5:14" x14ac:dyDescent="0.2">
      <c r="E522" s="10"/>
      <c r="F522" s="53"/>
      <c r="G522" s="9"/>
      <c r="J522" s="17"/>
      <c r="K522" s="17"/>
      <c r="N522" s="45"/>
    </row>
    <row r="523" spans="5:14" x14ac:dyDescent="0.2">
      <c r="E523" s="10"/>
      <c r="F523" s="53"/>
      <c r="G523" s="9"/>
      <c r="J523" s="17"/>
      <c r="K523" s="17"/>
      <c r="N523" s="45"/>
    </row>
    <row r="524" spans="5:14" x14ac:dyDescent="0.2">
      <c r="E524" s="10"/>
      <c r="F524" s="53"/>
      <c r="G524" s="9"/>
      <c r="J524" s="17"/>
      <c r="K524" s="17"/>
      <c r="N524" s="45"/>
    </row>
    <row r="525" spans="5:14" x14ac:dyDescent="0.2">
      <c r="E525" s="10"/>
      <c r="F525" s="53"/>
      <c r="G525" s="9"/>
      <c r="J525" s="17"/>
      <c r="K525" s="17"/>
      <c r="N525" s="45"/>
    </row>
    <row r="526" spans="5:14" x14ac:dyDescent="0.2">
      <c r="E526" s="10"/>
      <c r="F526" s="53"/>
      <c r="G526" s="9"/>
      <c r="J526" s="17"/>
      <c r="K526" s="17"/>
      <c r="N526" s="45"/>
    </row>
    <row r="527" spans="5:14" x14ac:dyDescent="0.2">
      <c r="E527" s="10"/>
      <c r="F527" s="53"/>
      <c r="G527" s="9"/>
      <c r="J527" s="17"/>
      <c r="K527" s="17"/>
      <c r="N527" s="45"/>
    </row>
    <row r="528" spans="5:14" x14ac:dyDescent="0.2">
      <c r="E528" s="10"/>
      <c r="F528" s="53"/>
      <c r="G528" s="9"/>
      <c r="J528" s="17"/>
      <c r="K528" s="17"/>
      <c r="N528" s="45"/>
    </row>
    <row r="529" spans="5:14" x14ac:dyDescent="0.2">
      <c r="E529" s="10"/>
      <c r="F529" s="53"/>
      <c r="G529" s="9"/>
      <c r="J529" s="17"/>
      <c r="K529" s="17"/>
      <c r="N529" s="45"/>
    </row>
    <row r="530" spans="5:14" x14ac:dyDescent="0.2">
      <c r="E530" s="10"/>
      <c r="F530" s="53"/>
      <c r="G530" s="9"/>
      <c r="J530" s="17"/>
      <c r="K530" s="17"/>
      <c r="N530" s="45"/>
    </row>
    <row r="531" spans="5:14" x14ac:dyDescent="0.2">
      <c r="E531" s="10"/>
      <c r="F531" s="53"/>
      <c r="G531" s="9"/>
      <c r="J531" s="17"/>
      <c r="K531" s="17"/>
      <c r="N531" s="45"/>
    </row>
    <row r="532" spans="5:14" x14ac:dyDescent="0.2">
      <c r="E532" s="10"/>
      <c r="F532" s="53"/>
      <c r="G532" s="9"/>
      <c r="J532" s="17"/>
      <c r="K532" s="17"/>
      <c r="N532" s="45"/>
    </row>
    <row r="533" spans="5:14" x14ac:dyDescent="0.2">
      <c r="E533" s="10"/>
      <c r="F533" s="53"/>
      <c r="G533" s="9"/>
      <c r="J533" s="17"/>
      <c r="K533" s="17"/>
      <c r="N533" s="45"/>
    </row>
    <row r="534" spans="5:14" x14ac:dyDescent="0.2">
      <c r="E534" s="10"/>
      <c r="F534" s="53"/>
      <c r="G534" s="9"/>
      <c r="J534" s="17"/>
      <c r="K534" s="17"/>
      <c r="N534" s="45"/>
    </row>
    <row r="535" spans="5:14" x14ac:dyDescent="0.2">
      <c r="E535" s="10"/>
      <c r="F535" s="53"/>
      <c r="G535" s="9"/>
      <c r="J535" s="17"/>
      <c r="K535" s="17"/>
      <c r="N535" s="45"/>
    </row>
    <row r="536" spans="5:14" x14ac:dyDescent="0.2">
      <c r="E536" s="10"/>
      <c r="F536" s="53"/>
      <c r="G536" s="9"/>
      <c r="J536" s="17"/>
      <c r="K536" s="17"/>
      <c r="N536" s="45"/>
    </row>
    <row r="537" spans="5:14" x14ac:dyDescent="0.2">
      <c r="E537" s="10"/>
      <c r="F537" s="53"/>
      <c r="G537" s="9"/>
      <c r="J537" s="17"/>
      <c r="K537" s="17"/>
      <c r="N537" s="45"/>
    </row>
    <row r="538" spans="5:14" x14ac:dyDescent="0.2">
      <c r="E538" s="10"/>
      <c r="F538" s="53"/>
      <c r="G538" s="9"/>
      <c r="J538" s="17"/>
      <c r="K538" s="17"/>
      <c r="N538" s="45"/>
    </row>
    <row r="539" spans="5:14" x14ac:dyDescent="0.2">
      <c r="E539" s="10"/>
      <c r="F539" s="53"/>
      <c r="G539" s="9"/>
      <c r="J539" s="17"/>
      <c r="K539" s="17"/>
      <c r="N539" s="45"/>
    </row>
    <row r="540" spans="5:14" x14ac:dyDescent="0.2">
      <c r="E540" s="10"/>
      <c r="F540" s="53"/>
      <c r="G540" s="9"/>
      <c r="J540" s="17"/>
      <c r="K540" s="17"/>
      <c r="N540" s="45"/>
    </row>
    <row r="541" spans="5:14" x14ac:dyDescent="0.2">
      <c r="E541" s="10"/>
      <c r="F541" s="53"/>
      <c r="G541" s="9"/>
      <c r="J541" s="17"/>
      <c r="K541" s="17"/>
      <c r="N541" s="45"/>
    </row>
    <row r="542" spans="5:14" x14ac:dyDescent="0.2">
      <c r="E542" s="10"/>
      <c r="F542" s="53"/>
      <c r="G542" s="9"/>
      <c r="J542" s="17"/>
      <c r="K542" s="17"/>
      <c r="N542" s="45"/>
    </row>
    <row r="543" spans="5:14" x14ac:dyDescent="0.2">
      <c r="E543" s="10"/>
      <c r="F543" s="53"/>
      <c r="G543" s="9"/>
      <c r="J543" s="17"/>
      <c r="K543" s="17"/>
      <c r="N543" s="45"/>
    </row>
    <row r="544" spans="5:14" x14ac:dyDescent="0.2">
      <c r="E544" s="10"/>
      <c r="F544" s="53"/>
      <c r="G544" s="9"/>
      <c r="J544" s="17"/>
      <c r="K544" s="17"/>
      <c r="N544" s="45"/>
    </row>
    <row r="545" spans="5:14" x14ac:dyDescent="0.2">
      <c r="E545" s="10"/>
      <c r="F545" s="53"/>
      <c r="G545" s="9"/>
      <c r="J545" s="17"/>
      <c r="K545" s="17"/>
      <c r="N545" s="45"/>
    </row>
    <row r="546" spans="5:14" x14ac:dyDescent="0.2">
      <c r="E546" s="10"/>
      <c r="F546" s="53"/>
      <c r="G546" s="9"/>
      <c r="J546" s="17"/>
      <c r="K546" s="17"/>
      <c r="N546" s="45"/>
    </row>
    <row r="547" spans="5:14" x14ac:dyDescent="0.2">
      <c r="E547" s="10"/>
      <c r="F547" s="53"/>
      <c r="G547" s="9"/>
      <c r="J547" s="17"/>
      <c r="K547" s="17"/>
      <c r="N547" s="45"/>
    </row>
    <row r="548" spans="5:14" x14ac:dyDescent="0.2">
      <c r="E548" s="10"/>
      <c r="F548" s="53"/>
      <c r="G548" s="9"/>
      <c r="J548" s="17"/>
      <c r="K548" s="17"/>
      <c r="N548" s="45"/>
    </row>
    <row r="549" spans="5:14" x14ac:dyDescent="0.2">
      <c r="E549" s="10"/>
      <c r="F549" s="53"/>
      <c r="G549" s="9"/>
      <c r="J549" s="17"/>
      <c r="K549" s="17"/>
      <c r="N549" s="45"/>
    </row>
    <row r="550" spans="5:14" x14ac:dyDescent="0.2">
      <c r="E550" s="10"/>
      <c r="F550" s="53"/>
      <c r="G550" s="9"/>
      <c r="J550" s="17"/>
      <c r="K550" s="17"/>
      <c r="N550" s="45"/>
    </row>
    <row r="551" spans="5:14" x14ac:dyDescent="0.2">
      <c r="E551" s="10"/>
      <c r="F551" s="53"/>
      <c r="G551" s="9"/>
      <c r="J551" s="17"/>
      <c r="K551" s="17"/>
      <c r="N551" s="45"/>
    </row>
    <row r="552" spans="5:14" x14ac:dyDescent="0.2">
      <c r="E552" s="10"/>
      <c r="F552" s="53"/>
      <c r="G552" s="9"/>
      <c r="J552" s="17"/>
      <c r="K552" s="17"/>
      <c r="N552" s="45"/>
    </row>
    <row r="553" spans="5:14" x14ac:dyDescent="0.2">
      <c r="E553" s="10"/>
      <c r="F553" s="53"/>
      <c r="G553" s="9"/>
      <c r="J553" s="17"/>
      <c r="K553" s="17"/>
      <c r="N553" s="45"/>
    </row>
    <row r="554" spans="5:14" x14ac:dyDescent="0.2">
      <c r="E554" s="10"/>
      <c r="F554" s="53"/>
      <c r="G554" s="9"/>
      <c r="J554" s="17"/>
      <c r="K554" s="17"/>
      <c r="N554" s="45"/>
    </row>
    <row r="555" spans="5:14" x14ac:dyDescent="0.2">
      <c r="E555" s="10"/>
      <c r="F555" s="53"/>
      <c r="G555" s="9"/>
      <c r="J555" s="17"/>
      <c r="K555" s="17"/>
      <c r="N555" s="45"/>
    </row>
    <row r="556" spans="5:14" x14ac:dyDescent="0.2">
      <c r="E556" s="10"/>
      <c r="F556" s="53"/>
      <c r="G556" s="9"/>
      <c r="J556" s="17"/>
      <c r="K556" s="17"/>
      <c r="N556" s="45"/>
    </row>
    <row r="557" spans="5:14" x14ac:dyDescent="0.2">
      <c r="E557" s="10"/>
      <c r="F557" s="53"/>
      <c r="G557" s="9"/>
      <c r="J557" s="17"/>
      <c r="K557" s="17"/>
      <c r="N557" s="45"/>
    </row>
    <row r="558" spans="5:14" x14ac:dyDescent="0.2">
      <c r="E558" s="10"/>
      <c r="F558" s="53"/>
      <c r="G558" s="9"/>
      <c r="J558" s="17"/>
      <c r="K558" s="17"/>
      <c r="N558" s="45"/>
    </row>
    <row r="559" spans="5:14" x14ac:dyDescent="0.2">
      <c r="E559" s="10"/>
      <c r="F559" s="53"/>
      <c r="G559" s="9"/>
      <c r="J559" s="17"/>
      <c r="K559" s="17"/>
      <c r="N559" s="45"/>
    </row>
    <row r="560" spans="5:14" x14ac:dyDescent="0.2">
      <c r="E560" s="10"/>
      <c r="F560" s="53"/>
      <c r="G560" s="9"/>
      <c r="J560" s="17"/>
      <c r="K560" s="17"/>
      <c r="N560" s="45"/>
    </row>
    <row r="561" spans="5:14" x14ac:dyDescent="0.2">
      <c r="E561" s="10"/>
      <c r="F561" s="53"/>
      <c r="G561" s="9"/>
      <c r="J561" s="17"/>
      <c r="K561" s="17"/>
      <c r="N561" s="45"/>
    </row>
    <row r="562" spans="5:14" x14ac:dyDescent="0.2">
      <c r="E562" s="10"/>
      <c r="F562" s="53"/>
      <c r="G562" s="9"/>
      <c r="J562" s="17"/>
      <c r="K562" s="17"/>
      <c r="N562" s="45"/>
    </row>
    <row r="563" spans="5:14" x14ac:dyDescent="0.2">
      <c r="E563" s="10"/>
      <c r="F563" s="53"/>
      <c r="G563" s="9"/>
      <c r="J563" s="17"/>
      <c r="K563" s="17"/>
      <c r="N563" s="45"/>
    </row>
    <row r="564" spans="5:14" x14ac:dyDescent="0.2">
      <c r="E564" s="10"/>
      <c r="F564" s="53"/>
      <c r="G564" s="9"/>
      <c r="J564" s="17"/>
      <c r="K564" s="17"/>
      <c r="N564" s="45"/>
    </row>
    <row r="565" spans="5:14" x14ac:dyDescent="0.2">
      <c r="E565" s="10"/>
      <c r="F565" s="53"/>
      <c r="G565" s="9"/>
      <c r="J565" s="17"/>
      <c r="K565" s="17"/>
      <c r="N565" s="45"/>
    </row>
    <row r="566" spans="5:14" x14ac:dyDescent="0.2">
      <c r="E566" s="10"/>
      <c r="F566" s="53"/>
      <c r="G566" s="9"/>
      <c r="J566" s="17"/>
      <c r="K566" s="17"/>
      <c r="N566" s="45"/>
    </row>
    <row r="567" spans="5:14" x14ac:dyDescent="0.2">
      <c r="E567" s="10"/>
      <c r="F567" s="53"/>
      <c r="G567" s="9"/>
      <c r="J567" s="17"/>
      <c r="K567" s="17"/>
      <c r="N567" s="45"/>
    </row>
    <row r="568" spans="5:14" x14ac:dyDescent="0.2">
      <c r="E568" s="10"/>
      <c r="F568" s="53"/>
      <c r="G568" s="9"/>
      <c r="J568" s="17"/>
      <c r="K568" s="17"/>
      <c r="N568" s="45"/>
    </row>
    <row r="569" spans="5:14" x14ac:dyDescent="0.2">
      <c r="E569" s="10"/>
      <c r="F569" s="53"/>
      <c r="G569" s="9"/>
      <c r="J569" s="17"/>
      <c r="K569" s="17"/>
      <c r="N569" s="45"/>
    </row>
    <row r="570" spans="5:14" x14ac:dyDescent="0.2">
      <c r="E570" s="10"/>
      <c r="F570" s="53"/>
      <c r="G570" s="9"/>
      <c r="J570" s="17"/>
      <c r="K570" s="17"/>
      <c r="N570" s="45"/>
    </row>
    <row r="571" spans="5:14" x14ac:dyDescent="0.2">
      <c r="E571" s="10"/>
      <c r="F571" s="53"/>
      <c r="G571" s="9"/>
      <c r="J571" s="17"/>
      <c r="K571" s="17"/>
      <c r="N571" s="45"/>
    </row>
    <row r="572" spans="5:14" x14ac:dyDescent="0.2">
      <c r="E572" s="10"/>
      <c r="F572" s="53"/>
      <c r="G572" s="9"/>
      <c r="J572" s="17"/>
      <c r="K572" s="17"/>
      <c r="N572" s="45"/>
    </row>
    <row r="573" spans="5:14" x14ac:dyDescent="0.2">
      <c r="E573" s="10"/>
      <c r="F573" s="53"/>
      <c r="G573" s="9"/>
      <c r="J573" s="17"/>
      <c r="K573" s="17"/>
      <c r="N573" s="45"/>
    </row>
    <row r="574" spans="5:14" x14ac:dyDescent="0.2">
      <c r="E574" s="10"/>
      <c r="F574" s="53"/>
      <c r="G574" s="9"/>
      <c r="J574" s="17"/>
      <c r="K574" s="17"/>
      <c r="N574" s="45"/>
    </row>
    <row r="575" spans="5:14" x14ac:dyDescent="0.2">
      <c r="E575" s="10"/>
      <c r="F575" s="53"/>
      <c r="G575" s="9"/>
      <c r="J575" s="17"/>
      <c r="K575" s="17"/>
      <c r="N575" s="45"/>
    </row>
    <row r="576" spans="5:14" x14ac:dyDescent="0.2">
      <c r="E576" s="10"/>
      <c r="F576" s="53"/>
      <c r="G576" s="9"/>
      <c r="J576" s="17"/>
      <c r="K576" s="17"/>
      <c r="N576" s="45"/>
    </row>
    <row r="577" spans="5:14" x14ac:dyDescent="0.2">
      <c r="E577" s="10"/>
      <c r="F577" s="53"/>
      <c r="G577" s="9"/>
      <c r="J577" s="17"/>
      <c r="K577" s="17"/>
      <c r="N577" s="45"/>
    </row>
    <row r="578" spans="5:14" x14ac:dyDescent="0.2">
      <c r="E578" s="10"/>
      <c r="F578" s="53"/>
      <c r="G578" s="9"/>
      <c r="J578" s="17"/>
      <c r="K578" s="17"/>
      <c r="N578" s="45"/>
    </row>
    <row r="579" spans="5:14" x14ac:dyDescent="0.2">
      <c r="E579" s="10"/>
      <c r="F579" s="53"/>
      <c r="G579" s="9"/>
      <c r="J579" s="17"/>
      <c r="K579" s="17"/>
      <c r="N579" s="45"/>
    </row>
    <row r="580" spans="5:14" x14ac:dyDescent="0.2">
      <c r="E580" s="10"/>
      <c r="F580" s="53"/>
      <c r="G580" s="9"/>
      <c r="J580" s="17"/>
      <c r="K580" s="17"/>
      <c r="N580" s="45"/>
    </row>
    <row r="581" spans="5:14" x14ac:dyDescent="0.2">
      <c r="E581" s="10"/>
      <c r="F581" s="53"/>
      <c r="G581" s="9"/>
      <c r="J581" s="17"/>
      <c r="K581" s="17"/>
      <c r="N581" s="45"/>
    </row>
    <row r="582" spans="5:14" x14ac:dyDescent="0.2">
      <c r="E582" s="10"/>
      <c r="F582" s="53"/>
      <c r="G582" s="9"/>
      <c r="J582" s="17"/>
      <c r="K582" s="17"/>
      <c r="N582" s="45"/>
    </row>
    <row r="583" spans="5:14" x14ac:dyDescent="0.2">
      <c r="E583" s="10"/>
      <c r="F583" s="53"/>
      <c r="G583" s="9"/>
      <c r="J583" s="17"/>
      <c r="K583" s="17"/>
      <c r="N583" s="45"/>
    </row>
    <row r="584" spans="5:14" x14ac:dyDescent="0.2">
      <c r="E584" s="10"/>
      <c r="F584" s="53"/>
      <c r="G584" s="9"/>
      <c r="J584" s="17"/>
      <c r="K584" s="17"/>
      <c r="N584" s="45"/>
    </row>
    <row r="585" spans="5:14" x14ac:dyDescent="0.2">
      <c r="E585" s="10"/>
      <c r="F585" s="53"/>
      <c r="G585" s="9"/>
      <c r="J585" s="17"/>
      <c r="K585" s="17"/>
      <c r="N585" s="45"/>
    </row>
    <row r="586" spans="5:14" x14ac:dyDescent="0.2">
      <c r="E586" s="10"/>
      <c r="F586" s="53"/>
      <c r="G586" s="9"/>
      <c r="J586" s="17"/>
      <c r="K586" s="17"/>
      <c r="N586" s="45"/>
    </row>
    <row r="587" spans="5:14" x14ac:dyDescent="0.2">
      <c r="E587" s="10"/>
      <c r="F587" s="53"/>
      <c r="G587" s="9"/>
      <c r="J587" s="17"/>
      <c r="K587" s="17"/>
      <c r="N587" s="45"/>
    </row>
    <row r="588" spans="5:14" x14ac:dyDescent="0.2">
      <c r="E588" s="10"/>
      <c r="F588" s="53"/>
      <c r="G588" s="9"/>
      <c r="J588" s="17"/>
      <c r="K588" s="17"/>
      <c r="N588" s="45"/>
    </row>
    <row r="589" spans="5:14" x14ac:dyDescent="0.2">
      <c r="E589" s="10"/>
      <c r="F589" s="53"/>
      <c r="G589" s="9"/>
      <c r="J589" s="17"/>
      <c r="K589" s="17"/>
      <c r="N589" s="45"/>
    </row>
    <row r="590" spans="5:14" x14ac:dyDescent="0.2">
      <c r="E590" s="10"/>
      <c r="F590" s="53"/>
      <c r="G590" s="9"/>
      <c r="J590" s="17"/>
      <c r="K590" s="17"/>
      <c r="N590" s="45"/>
    </row>
    <row r="591" spans="5:14" x14ac:dyDescent="0.2">
      <c r="E591" s="10"/>
      <c r="F591" s="53"/>
      <c r="G591" s="9"/>
      <c r="J591" s="17"/>
      <c r="K591" s="17"/>
      <c r="N591" s="45"/>
    </row>
    <row r="592" spans="5:14" x14ac:dyDescent="0.2">
      <c r="E592" s="10"/>
      <c r="F592" s="53"/>
      <c r="G592" s="9"/>
      <c r="J592" s="17"/>
      <c r="K592" s="17"/>
      <c r="N592" s="45"/>
    </row>
    <row r="593" spans="5:14" x14ac:dyDescent="0.2">
      <c r="E593" s="10"/>
      <c r="F593" s="53"/>
      <c r="G593" s="9"/>
      <c r="J593" s="17"/>
      <c r="K593" s="17"/>
      <c r="N593" s="45"/>
    </row>
    <row r="594" spans="5:14" x14ac:dyDescent="0.2">
      <c r="E594" s="10"/>
      <c r="F594" s="53"/>
      <c r="G594" s="9"/>
      <c r="J594" s="17"/>
      <c r="K594" s="17"/>
      <c r="N594" s="45"/>
    </row>
    <row r="595" spans="5:14" x14ac:dyDescent="0.2">
      <c r="E595" s="10"/>
      <c r="F595" s="53"/>
      <c r="G595" s="9"/>
      <c r="J595" s="17"/>
      <c r="K595" s="17"/>
      <c r="N595" s="45"/>
    </row>
    <row r="596" spans="5:14" x14ac:dyDescent="0.2">
      <c r="E596" s="10"/>
      <c r="F596" s="53"/>
      <c r="G596" s="9"/>
      <c r="J596" s="17"/>
      <c r="K596" s="17"/>
      <c r="N596" s="45"/>
    </row>
    <row r="597" spans="5:14" x14ac:dyDescent="0.2">
      <c r="E597" s="10"/>
      <c r="F597" s="53"/>
      <c r="G597" s="9"/>
      <c r="J597" s="17"/>
      <c r="K597" s="17"/>
      <c r="N597" s="45"/>
    </row>
    <row r="598" spans="5:14" x14ac:dyDescent="0.2">
      <c r="E598" s="10"/>
      <c r="F598" s="53"/>
      <c r="G598" s="9"/>
      <c r="J598" s="17"/>
      <c r="K598" s="17"/>
      <c r="N598" s="45"/>
    </row>
    <row r="599" spans="5:14" x14ac:dyDescent="0.2">
      <c r="E599" s="10"/>
      <c r="F599" s="53"/>
      <c r="G599" s="9"/>
      <c r="J599" s="17"/>
      <c r="K599" s="17"/>
      <c r="N599" s="45"/>
    </row>
    <row r="600" spans="5:14" x14ac:dyDescent="0.2">
      <c r="E600" s="10"/>
      <c r="F600" s="53"/>
      <c r="G600" s="9"/>
      <c r="J600" s="17"/>
      <c r="K600" s="17"/>
      <c r="N600" s="45"/>
    </row>
    <row r="601" spans="5:14" x14ac:dyDescent="0.2">
      <c r="E601" s="10"/>
      <c r="F601" s="53"/>
      <c r="G601" s="9"/>
      <c r="J601" s="17"/>
      <c r="K601" s="17"/>
      <c r="N601" s="45"/>
    </row>
    <row r="602" spans="5:14" x14ac:dyDescent="0.2">
      <c r="E602" s="10"/>
      <c r="F602" s="53"/>
      <c r="G602" s="9"/>
      <c r="J602" s="17"/>
      <c r="K602" s="17"/>
      <c r="N602" s="45"/>
    </row>
    <row r="603" spans="5:14" x14ac:dyDescent="0.2">
      <c r="E603" s="10"/>
      <c r="F603" s="53"/>
      <c r="G603" s="9"/>
      <c r="J603" s="17"/>
      <c r="K603" s="17"/>
      <c r="N603" s="45"/>
    </row>
    <row r="604" spans="5:14" x14ac:dyDescent="0.2">
      <c r="E604" s="10"/>
      <c r="F604" s="53"/>
      <c r="G604" s="9"/>
      <c r="J604" s="17"/>
      <c r="K604" s="17"/>
      <c r="N604" s="45"/>
    </row>
    <row r="605" spans="5:14" x14ac:dyDescent="0.2">
      <c r="E605" s="10"/>
      <c r="F605" s="53"/>
      <c r="G605" s="9"/>
      <c r="J605" s="17"/>
      <c r="K605" s="17"/>
      <c r="N605" s="45"/>
    </row>
    <row r="606" spans="5:14" x14ac:dyDescent="0.2">
      <c r="E606" s="10"/>
      <c r="F606" s="53"/>
      <c r="G606" s="9"/>
      <c r="J606" s="17"/>
      <c r="K606" s="17"/>
      <c r="N606" s="45"/>
    </row>
    <row r="607" spans="5:14" x14ac:dyDescent="0.2">
      <c r="E607" s="10"/>
      <c r="F607" s="53"/>
      <c r="G607" s="9"/>
      <c r="J607" s="17"/>
      <c r="K607" s="17"/>
      <c r="N607" s="45"/>
    </row>
    <row r="608" spans="5:14" x14ac:dyDescent="0.2">
      <c r="E608" s="10"/>
      <c r="F608" s="53"/>
      <c r="G608" s="9"/>
      <c r="J608" s="17"/>
      <c r="K608" s="17"/>
      <c r="N608" s="45"/>
    </row>
    <row r="609" spans="5:14" x14ac:dyDescent="0.2">
      <c r="E609" s="10"/>
      <c r="F609" s="53"/>
      <c r="G609" s="9"/>
      <c r="J609" s="17"/>
      <c r="K609" s="17"/>
      <c r="N609" s="45"/>
    </row>
    <row r="610" spans="5:14" x14ac:dyDescent="0.2">
      <c r="E610" s="10"/>
      <c r="F610" s="53"/>
      <c r="G610" s="9"/>
      <c r="J610" s="17"/>
      <c r="K610" s="17"/>
      <c r="N610" s="45"/>
    </row>
    <row r="611" spans="5:14" x14ac:dyDescent="0.2">
      <c r="E611" s="10"/>
      <c r="F611" s="53"/>
      <c r="G611" s="9"/>
      <c r="J611" s="17"/>
      <c r="K611" s="17"/>
      <c r="N611" s="45"/>
    </row>
    <row r="612" spans="5:14" x14ac:dyDescent="0.2">
      <c r="E612" s="10"/>
      <c r="F612" s="53"/>
      <c r="G612" s="9"/>
      <c r="J612" s="17"/>
      <c r="K612" s="17"/>
      <c r="N612" s="45"/>
    </row>
    <row r="613" spans="5:14" x14ac:dyDescent="0.2">
      <c r="E613" s="10"/>
      <c r="F613" s="53"/>
      <c r="G613" s="9"/>
      <c r="J613" s="17"/>
      <c r="K613" s="17"/>
      <c r="N613" s="45"/>
    </row>
    <row r="614" spans="5:14" x14ac:dyDescent="0.2">
      <c r="E614" s="10"/>
      <c r="F614" s="53"/>
      <c r="G614" s="9"/>
      <c r="J614" s="17"/>
      <c r="K614" s="17"/>
      <c r="N614" s="45"/>
    </row>
    <row r="615" spans="5:14" x14ac:dyDescent="0.2">
      <c r="E615" s="10"/>
      <c r="F615" s="53"/>
      <c r="G615" s="9"/>
      <c r="J615" s="17"/>
      <c r="K615" s="17"/>
      <c r="N615" s="45"/>
    </row>
    <row r="616" spans="5:14" x14ac:dyDescent="0.2">
      <c r="E616" s="10"/>
      <c r="F616" s="53"/>
      <c r="G616" s="9"/>
      <c r="J616" s="17"/>
      <c r="K616" s="17"/>
      <c r="N616" s="45"/>
    </row>
    <row r="617" spans="5:14" x14ac:dyDescent="0.2">
      <c r="E617" s="10"/>
      <c r="F617" s="53"/>
      <c r="G617" s="9"/>
      <c r="J617" s="17"/>
      <c r="K617" s="17"/>
      <c r="N617" s="45"/>
    </row>
    <row r="618" spans="5:14" x14ac:dyDescent="0.2">
      <c r="E618" s="10"/>
      <c r="F618" s="53"/>
      <c r="G618" s="9"/>
      <c r="J618" s="17"/>
      <c r="K618" s="17"/>
      <c r="N618" s="45"/>
    </row>
    <row r="619" spans="5:14" x14ac:dyDescent="0.2">
      <c r="E619" s="10"/>
      <c r="F619" s="53"/>
      <c r="G619" s="9"/>
      <c r="J619" s="17"/>
      <c r="K619" s="17"/>
      <c r="N619" s="45"/>
    </row>
    <row r="620" spans="5:14" x14ac:dyDescent="0.2">
      <c r="E620" s="10"/>
      <c r="F620" s="53"/>
      <c r="G620" s="9"/>
      <c r="J620" s="17"/>
      <c r="K620" s="17"/>
      <c r="N620" s="45"/>
    </row>
    <row r="621" spans="5:14" x14ac:dyDescent="0.2">
      <c r="E621" s="10"/>
      <c r="F621" s="53"/>
      <c r="G621" s="9"/>
      <c r="J621" s="17"/>
      <c r="K621" s="17"/>
      <c r="N621" s="45"/>
    </row>
    <row r="622" spans="5:14" x14ac:dyDescent="0.2">
      <c r="E622" s="10"/>
      <c r="F622" s="53"/>
      <c r="G622" s="9"/>
      <c r="J622" s="17"/>
      <c r="K622" s="17"/>
      <c r="N622" s="45"/>
    </row>
    <row r="623" spans="5:14" x14ac:dyDescent="0.2">
      <c r="E623" s="10"/>
      <c r="F623" s="53"/>
      <c r="G623" s="9"/>
      <c r="J623" s="17"/>
      <c r="K623" s="17"/>
      <c r="N623" s="45"/>
    </row>
    <row r="624" spans="5:14" x14ac:dyDescent="0.2">
      <c r="E624" s="10"/>
      <c r="F624" s="53"/>
      <c r="G624" s="9"/>
      <c r="J624" s="17"/>
      <c r="K624" s="17"/>
      <c r="N624" s="45"/>
    </row>
    <row r="625" spans="5:14" x14ac:dyDescent="0.2">
      <c r="E625" s="10"/>
      <c r="F625" s="53"/>
      <c r="G625" s="9"/>
      <c r="J625" s="17"/>
      <c r="K625" s="17"/>
      <c r="N625" s="45"/>
    </row>
    <row r="626" spans="5:14" x14ac:dyDescent="0.2">
      <c r="E626" s="10"/>
      <c r="F626" s="53"/>
      <c r="G626" s="9"/>
      <c r="J626" s="17"/>
      <c r="K626" s="17"/>
      <c r="N626" s="45"/>
    </row>
    <row r="627" spans="5:14" x14ac:dyDescent="0.2">
      <c r="E627" s="10"/>
      <c r="F627" s="53"/>
      <c r="G627" s="9"/>
      <c r="J627" s="17"/>
      <c r="K627" s="17"/>
      <c r="N627" s="45"/>
    </row>
    <row r="628" spans="5:14" x14ac:dyDescent="0.2">
      <c r="E628" s="10"/>
      <c r="F628" s="53"/>
      <c r="G628" s="9"/>
      <c r="J628" s="17"/>
      <c r="K628" s="17"/>
      <c r="N628" s="45"/>
    </row>
    <row r="629" spans="5:14" x14ac:dyDescent="0.2">
      <c r="E629" s="10"/>
      <c r="F629" s="53"/>
      <c r="G629" s="9"/>
      <c r="J629" s="17"/>
      <c r="K629" s="17"/>
      <c r="N629" s="45"/>
    </row>
    <row r="630" spans="5:14" x14ac:dyDescent="0.2">
      <c r="E630" s="10"/>
      <c r="F630" s="53"/>
      <c r="G630" s="9"/>
      <c r="J630" s="17"/>
      <c r="K630" s="17"/>
      <c r="N630" s="45"/>
    </row>
    <row r="631" spans="5:14" x14ac:dyDescent="0.2">
      <c r="E631" s="10"/>
      <c r="F631" s="53"/>
      <c r="G631" s="9"/>
      <c r="J631" s="17"/>
      <c r="K631" s="17"/>
      <c r="N631" s="45"/>
    </row>
    <row r="632" spans="5:14" x14ac:dyDescent="0.2">
      <c r="E632" s="10"/>
      <c r="F632" s="53"/>
      <c r="G632" s="9"/>
      <c r="J632" s="17"/>
      <c r="K632" s="17"/>
      <c r="N632" s="45"/>
    </row>
    <row r="633" spans="5:14" x14ac:dyDescent="0.2">
      <c r="E633" s="10"/>
      <c r="F633" s="53"/>
      <c r="G633" s="9"/>
      <c r="J633" s="17"/>
      <c r="K633" s="17"/>
      <c r="N633" s="45"/>
    </row>
    <row r="634" spans="5:14" x14ac:dyDescent="0.2">
      <c r="E634" s="10"/>
      <c r="F634" s="53"/>
      <c r="G634" s="9"/>
      <c r="J634" s="17"/>
      <c r="K634" s="17"/>
      <c r="N634" s="45"/>
    </row>
    <row r="635" spans="5:14" x14ac:dyDescent="0.2">
      <c r="E635" s="10"/>
      <c r="F635" s="53"/>
      <c r="G635" s="9"/>
      <c r="J635" s="17"/>
      <c r="K635" s="17"/>
      <c r="N635" s="45"/>
    </row>
    <row r="636" spans="5:14" x14ac:dyDescent="0.2">
      <c r="E636" s="10"/>
      <c r="F636" s="53"/>
      <c r="G636" s="9"/>
      <c r="J636" s="17"/>
      <c r="K636" s="17"/>
      <c r="N636" s="45"/>
    </row>
    <row r="637" spans="5:14" x14ac:dyDescent="0.2">
      <c r="E637" s="10"/>
      <c r="F637" s="53"/>
      <c r="G637" s="9"/>
      <c r="J637" s="17"/>
      <c r="K637" s="17"/>
      <c r="N637" s="45"/>
    </row>
    <row r="638" spans="5:14" x14ac:dyDescent="0.2">
      <c r="E638" s="10"/>
      <c r="F638" s="53"/>
      <c r="G638" s="9"/>
      <c r="J638" s="17"/>
      <c r="K638" s="17"/>
      <c r="N638" s="45"/>
    </row>
    <row r="639" spans="5:14" x14ac:dyDescent="0.2">
      <c r="E639" s="10"/>
      <c r="F639" s="53"/>
      <c r="G639" s="9"/>
      <c r="J639" s="17"/>
      <c r="K639" s="17"/>
      <c r="N639" s="45"/>
    </row>
    <row r="640" spans="5:14" x14ac:dyDescent="0.2">
      <c r="E640" s="10"/>
      <c r="F640" s="53"/>
      <c r="G640" s="9"/>
      <c r="J640" s="17"/>
      <c r="K640" s="17"/>
      <c r="N640" s="45"/>
    </row>
    <row r="641" spans="5:14" x14ac:dyDescent="0.2">
      <c r="E641" s="10"/>
      <c r="F641" s="53"/>
      <c r="G641" s="9"/>
      <c r="J641" s="17"/>
      <c r="K641" s="17"/>
      <c r="N641" s="45"/>
    </row>
    <row r="642" spans="5:14" x14ac:dyDescent="0.2">
      <c r="E642" s="10"/>
      <c r="F642" s="53"/>
      <c r="G642" s="9"/>
      <c r="J642" s="17"/>
      <c r="K642" s="17"/>
      <c r="N642" s="45"/>
    </row>
    <row r="643" spans="5:14" x14ac:dyDescent="0.2">
      <c r="E643" s="10"/>
      <c r="F643" s="53"/>
      <c r="G643" s="9"/>
      <c r="J643" s="17"/>
      <c r="K643" s="17"/>
      <c r="N643" s="45"/>
    </row>
    <row r="644" spans="5:14" x14ac:dyDescent="0.2">
      <c r="E644" s="10"/>
      <c r="F644" s="53"/>
      <c r="G644" s="9"/>
      <c r="J644" s="17"/>
      <c r="K644" s="17"/>
      <c r="N644" s="45"/>
    </row>
    <row r="645" spans="5:14" x14ac:dyDescent="0.2">
      <c r="E645" s="10"/>
      <c r="F645" s="53"/>
      <c r="G645" s="9"/>
      <c r="J645" s="17"/>
      <c r="K645" s="17"/>
      <c r="N645" s="45"/>
    </row>
    <row r="646" spans="5:14" x14ac:dyDescent="0.2">
      <c r="E646" s="10"/>
      <c r="F646" s="53"/>
      <c r="G646" s="9"/>
      <c r="J646" s="17"/>
      <c r="K646" s="17"/>
      <c r="N646" s="45"/>
    </row>
    <row r="647" spans="5:14" x14ac:dyDescent="0.2">
      <c r="E647" s="10"/>
      <c r="F647" s="53"/>
      <c r="G647" s="9"/>
      <c r="J647" s="17"/>
      <c r="K647" s="17"/>
      <c r="N647" s="45"/>
    </row>
    <row r="648" spans="5:14" x14ac:dyDescent="0.2">
      <c r="E648" s="10"/>
      <c r="F648" s="53"/>
      <c r="G648" s="9"/>
      <c r="J648" s="17"/>
      <c r="K648" s="17"/>
      <c r="N648" s="45"/>
    </row>
    <row r="649" spans="5:14" x14ac:dyDescent="0.2">
      <c r="E649" s="10"/>
      <c r="F649" s="53"/>
      <c r="G649" s="9"/>
      <c r="J649" s="17"/>
      <c r="K649" s="17"/>
      <c r="N649" s="45"/>
    </row>
    <row r="650" spans="5:14" x14ac:dyDescent="0.2">
      <c r="E650" s="10"/>
      <c r="F650" s="53"/>
      <c r="G650" s="9"/>
      <c r="J650" s="17"/>
      <c r="K650" s="17"/>
      <c r="N650" s="45"/>
    </row>
    <row r="651" spans="5:14" x14ac:dyDescent="0.2">
      <c r="E651" s="10"/>
      <c r="F651" s="53"/>
      <c r="G651" s="9"/>
      <c r="J651" s="17"/>
      <c r="K651" s="17"/>
      <c r="N651" s="45"/>
    </row>
    <row r="652" spans="5:14" x14ac:dyDescent="0.2">
      <c r="E652" s="10"/>
      <c r="F652" s="53"/>
      <c r="G652" s="9"/>
      <c r="J652" s="17"/>
      <c r="K652" s="17"/>
      <c r="N652" s="45"/>
    </row>
    <row r="653" spans="5:14" x14ac:dyDescent="0.2">
      <c r="E653" s="10"/>
      <c r="F653" s="53"/>
      <c r="G653" s="9"/>
      <c r="J653" s="17"/>
      <c r="K653" s="17"/>
      <c r="N653" s="45"/>
    </row>
    <row r="654" spans="5:14" x14ac:dyDescent="0.2">
      <c r="E654" s="10"/>
      <c r="F654" s="53"/>
      <c r="G654" s="9"/>
      <c r="J654" s="17"/>
      <c r="K654" s="17"/>
      <c r="N654" s="45"/>
    </row>
    <row r="655" spans="5:14" x14ac:dyDescent="0.2">
      <c r="E655" s="10"/>
      <c r="F655" s="53"/>
      <c r="G655" s="9"/>
      <c r="J655" s="17"/>
      <c r="K655" s="17"/>
      <c r="N655" s="45"/>
    </row>
    <row r="656" spans="5:14" x14ac:dyDescent="0.2">
      <c r="E656" s="10"/>
      <c r="F656" s="53"/>
      <c r="G656" s="9"/>
      <c r="J656" s="17"/>
      <c r="K656" s="17"/>
      <c r="N656" s="45"/>
    </row>
    <row r="657" spans="5:14" x14ac:dyDescent="0.2">
      <c r="E657" s="10"/>
      <c r="F657" s="53"/>
      <c r="G657" s="9"/>
      <c r="J657" s="17"/>
      <c r="K657" s="17"/>
      <c r="N657" s="45"/>
    </row>
    <row r="658" spans="5:14" x14ac:dyDescent="0.2">
      <c r="E658" s="10"/>
      <c r="F658" s="53"/>
      <c r="G658" s="9"/>
      <c r="J658" s="17"/>
      <c r="K658" s="17"/>
      <c r="N658" s="45"/>
    </row>
    <row r="659" spans="5:14" x14ac:dyDescent="0.2">
      <c r="E659" s="10"/>
      <c r="F659" s="53"/>
      <c r="G659" s="9"/>
      <c r="J659" s="17"/>
      <c r="K659" s="17"/>
      <c r="N659" s="45"/>
    </row>
    <row r="660" spans="5:14" x14ac:dyDescent="0.2">
      <c r="E660" s="10"/>
      <c r="F660" s="53"/>
      <c r="G660" s="9"/>
      <c r="J660" s="17"/>
      <c r="K660" s="17"/>
      <c r="N660" s="45"/>
    </row>
    <row r="661" spans="5:14" x14ac:dyDescent="0.2">
      <c r="J661" s="17"/>
      <c r="K661" s="17"/>
    </row>
    <row r="662" spans="5:14" ht="12.75" x14ac:dyDescent="0.2">
      <c r="E662" s="54"/>
      <c r="F662" s="55"/>
      <c r="G662" s="56">
        <f>SUM(G9:G661)</f>
        <v>0</v>
      </c>
      <c r="N662" s="55"/>
    </row>
  </sheetData>
  <mergeCells count="5">
    <mergeCell ref="I3:K3"/>
    <mergeCell ref="M3:M4"/>
    <mergeCell ref="B3:B4"/>
    <mergeCell ref="C3:C4"/>
    <mergeCell ref="E3:G3"/>
  </mergeCells>
  <dataValidations disablePrompts="1" count="2">
    <dataValidation type="list" allowBlank="1" showInputMessage="1" showErrorMessage="1" sqref="L11:L659 M42:M659 L9:M9" xr:uid="{87C01681-CD07-4D7A-A527-63CB068CD433}">
      <formula1>Taxes</formula1>
    </dataValidation>
    <dataValidation type="list" allowBlank="1" showInputMessage="1" showErrorMessage="1" sqref="B9:C660" xr:uid="{C1340879-2AEF-4DE4-A798-A2473BC945EE}">
      <formula1>Compadjust</formula1>
    </dataValidation>
  </dataValidations>
  <pageMargins left="0.7" right="0.7" top="0.75" bottom="0.75" header="0.3" footer="0.3"/>
  <pageSetup paperSize="9" orientation="portrait" horizontalDpi="30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48780-1EB5-4850-A175-C84091B8EDE0}">
  <dimension ref="A1:N666"/>
  <sheetViews>
    <sheetView showGridLines="0" zoomScale="85" zoomScaleNormal="85" workbookViewId="0">
      <selection activeCell="N6" sqref="N6"/>
    </sheetView>
  </sheetViews>
  <sheetFormatPr defaultColWidth="11.56640625" defaultRowHeight="10.5" x14ac:dyDescent="0.2"/>
  <cols>
    <col min="1" max="1" width="3.62890625" style="17" bestFit="1" customWidth="1"/>
    <col min="2" max="2" width="44.390625" style="13" customWidth="1"/>
    <col min="3" max="3" width="11.97265625" style="13" customWidth="1"/>
    <col min="4" max="4" width="0.94140625" style="13" customWidth="1"/>
    <col min="5" max="5" width="18.0234375" style="13" bestFit="1" customWidth="1"/>
    <col min="6" max="6" width="14.390625" style="10" customWidth="1"/>
    <col min="7" max="7" width="18.0234375" style="13" bestFit="1" customWidth="1"/>
    <col min="8" max="8" width="0.94140625" style="13" customWidth="1"/>
    <col min="9" max="9" width="18.0234375" style="13" bestFit="1" customWidth="1"/>
    <col min="10" max="10" width="18.16015625" style="13" customWidth="1"/>
    <col min="11" max="11" width="18.0234375" style="13" bestFit="1" customWidth="1"/>
    <col min="12" max="12" width="0.94140625" style="13" customWidth="1"/>
    <col min="13" max="13" width="16.6796875" style="13" bestFit="1" customWidth="1"/>
    <col min="14" max="16384" width="11.56640625" style="13"/>
  </cols>
  <sheetData>
    <row r="1" spans="2:14" ht="19.5" x14ac:dyDescent="0.1">
      <c r="B1" s="12" t="s">
        <v>3380</v>
      </c>
      <c r="C1" s="12"/>
      <c r="E1" s="14" t="s">
        <v>44</v>
      </c>
      <c r="F1" s="12" t="s">
        <v>3381</v>
      </c>
      <c r="G1" s="15">
        <v>293859039</v>
      </c>
      <c r="J1" s="12" t="s">
        <v>3382</v>
      </c>
      <c r="K1" s="16">
        <v>2021</v>
      </c>
    </row>
    <row r="2" spans="2:14" x14ac:dyDescent="0.2">
      <c r="B2" s="15"/>
      <c r="C2" s="15"/>
      <c r="F2" s="13"/>
      <c r="J2" s="21"/>
      <c r="M2" s="22"/>
    </row>
    <row r="3" spans="2:14" ht="15" customHeight="1" x14ac:dyDescent="0.2">
      <c r="B3" s="427" t="s">
        <v>3383</v>
      </c>
      <c r="C3" s="427" t="s">
        <v>3384</v>
      </c>
      <c r="E3" s="425" t="s">
        <v>3385</v>
      </c>
      <c r="F3" s="426"/>
      <c r="G3" s="427"/>
      <c r="I3" s="425" t="s">
        <v>3386</v>
      </c>
      <c r="J3" s="426"/>
      <c r="K3" s="427"/>
      <c r="M3" s="426" t="s">
        <v>3387</v>
      </c>
    </row>
    <row r="4" spans="2:14" ht="11.25" thickBot="1" x14ac:dyDescent="0.25">
      <c r="B4" s="430"/>
      <c r="C4" s="430"/>
      <c r="E4" s="18" t="s">
        <v>3388</v>
      </c>
      <c r="F4" s="19" t="s">
        <v>3389</v>
      </c>
      <c r="G4" s="27" t="s">
        <v>3390</v>
      </c>
      <c r="I4" s="18" t="s">
        <v>3388</v>
      </c>
      <c r="J4" s="19" t="s">
        <v>3389</v>
      </c>
      <c r="K4" s="27" t="s">
        <v>3390</v>
      </c>
      <c r="M4" s="428"/>
    </row>
    <row r="5" spans="2:14" ht="13.5" customHeight="1" x14ac:dyDescent="0.2">
      <c r="B5" s="193" t="s">
        <v>3391</v>
      </c>
      <c r="C5" s="24"/>
      <c r="E5" s="25">
        <f>SUM(E6:E6)</f>
        <v>0</v>
      </c>
      <c r="F5" s="25">
        <f>SUM(F6:F6)</f>
        <v>0</v>
      </c>
      <c r="G5" s="25">
        <f>SUM(G6:G6)</f>
        <v>0</v>
      </c>
      <c r="H5" s="58"/>
      <c r="I5" s="25">
        <f>SUM(I6:I6)</f>
        <v>0</v>
      </c>
      <c r="J5" s="25">
        <f>SUM(J6:J6)</f>
        <v>0</v>
      </c>
      <c r="K5" s="25">
        <f>SUM(K6:K6)</f>
        <v>0</v>
      </c>
      <c r="L5" s="58"/>
      <c r="M5" s="25">
        <f>SUM(M6:M6)</f>
        <v>0</v>
      </c>
    </row>
    <row r="6" spans="2:14" x14ac:dyDescent="0.2">
      <c r="B6" s="17" t="s">
        <v>3404</v>
      </c>
      <c r="C6" s="17" t="s">
        <v>3405</v>
      </c>
      <c r="E6" s="9">
        <v>0</v>
      </c>
      <c r="F6" s="9">
        <v>0</v>
      </c>
      <c r="G6" s="9">
        <v>0</v>
      </c>
      <c r="H6" s="58"/>
      <c r="I6" s="9">
        <v>0</v>
      </c>
      <c r="J6" s="9">
        <v>0</v>
      </c>
      <c r="K6" s="9">
        <v>0</v>
      </c>
      <c r="L6" s="58"/>
      <c r="M6" s="9">
        <f t="shared" ref="M6" si="0">G6-K6</f>
        <v>0</v>
      </c>
      <c r="N6" s="15" t="s">
        <v>3406</v>
      </c>
    </row>
    <row r="7" spans="2:14" x14ac:dyDescent="0.2">
      <c r="B7" s="33" t="s">
        <v>3399</v>
      </c>
      <c r="C7" s="33"/>
      <c r="E7" s="59">
        <f>E5</f>
        <v>0</v>
      </c>
      <c r="F7" s="59">
        <f t="shared" ref="F7:G7" si="1">F5</f>
        <v>0</v>
      </c>
      <c r="G7" s="59">
        <f t="shared" si="1"/>
        <v>0</v>
      </c>
      <c r="H7" s="60"/>
      <c r="I7" s="59">
        <f t="shared" ref="I7:K7" si="2">I5</f>
        <v>0</v>
      </c>
      <c r="J7" s="59">
        <f t="shared" si="2"/>
        <v>0</v>
      </c>
      <c r="K7" s="59">
        <f t="shared" si="2"/>
        <v>0</v>
      </c>
      <c r="L7" s="60"/>
      <c r="M7" s="59">
        <f>M5</f>
        <v>0</v>
      </c>
    </row>
    <row r="8" spans="2:14" x14ac:dyDescent="0.2">
      <c r="B8" s="15"/>
      <c r="C8" s="15"/>
      <c r="E8" s="58"/>
      <c r="F8" s="32"/>
      <c r="G8" s="32"/>
      <c r="H8" s="58"/>
      <c r="I8" s="32"/>
      <c r="J8" s="32"/>
      <c r="K8" s="32"/>
      <c r="L8" s="58"/>
      <c r="M8" s="32"/>
    </row>
    <row r="9" spans="2:14" x14ac:dyDescent="0.1">
      <c r="E9" s="30"/>
      <c r="F9" s="42"/>
      <c r="G9" s="38"/>
      <c r="I9" s="39"/>
      <c r="J9" s="17"/>
      <c r="K9" s="17"/>
    </row>
    <row r="10" spans="2:14" x14ac:dyDescent="0.1">
      <c r="E10" s="30"/>
      <c r="F10" s="42"/>
      <c r="G10" s="46"/>
      <c r="J10" s="17"/>
      <c r="K10" s="17"/>
      <c r="M10" s="47"/>
    </row>
    <row r="11" spans="2:14" x14ac:dyDescent="0.1">
      <c r="E11" s="30"/>
      <c r="F11" s="42"/>
      <c r="G11" s="50"/>
      <c r="J11" s="17"/>
      <c r="K11" s="17"/>
      <c r="M11" s="17"/>
    </row>
    <row r="12" spans="2:14" x14ac:dyDescent="0.1">
      <c r="E12" s="30"/>
      <c r="F12" s="42"/>
      <c r="G12" s="50"/>
      <c r="J12" s="17"/>
      <c r="K12" s="17"/>
      <c r="M12" s="47"/>
    </row>
    <row r="13" spans="2:14" x14ac:dyDescent="0.1">
      <c r="E13" s="30"/>
      <c r="F13" s="42"/>
      <c r="G13" s="50"/>
      <c r="J13" s="17"/>
      <c r="K13" s="17"/>
      <c r="M13" s="47"/>
    </row>
    <row r="14" spans="2:14" x14ac:dyDescent="0.1">
      <c r="E14" s="30"/>
      <c r="F14" s="42"/>
      <c r="G14" s="50"/>
      <c r="J14" s="17"/>
      <c r="K14" s="17"/>
    </row>
    <row r="15" spans="2:14" x14ac:dyDescent="0.1">
      <c r="E15" s="30"/>
      <c r="F15" s="42"/>
      <c r="G15" s="50"/>
      <c r="J15" s="17"/>
      <c r="K15" s="17"/>
    </row>
    <row r="16" spans="2:14" x14ac:dyDescent="0.1">
      <c r="E16" s="30"/>
      <c r="F16" s="42"/>
      <c r="G16" s="50"/>
      <c r="J16" s="17"/>
      <c r="K16" s="17"/>
    </row>
    <row r="17" spans="5:11" x14ac:dyDescent="0.1">
      <c r="E17" s="30"/>
      <c r="F17" s="42"/>
      <c r="G17" s="50"/>
      <c r="J17" s="17"/>
      <c r="K17" s="17"/>
    </row>
    <row r="18" spans="5:11" x14ac:dyDescent="0.1">
      <c r="E18" s="30"/>
      <c r="F18" s="42"/>
      <c r="G18" s="50"/>
      <c r="J18" s="17"/>
      <c r="K18" s="17"/>
    </row>
    <row r="19" spans="5:11" x14ac:dyDescent="0.1">
      <c r="E19" s="30"/>
      <c r="F19" s="42"/>
      <c r="G19" s="50"/>
      <c r="J19" s="17"/>
      <c r="K19" s="17"/>
    </row>
    <row r="20" spans="5:11" x14ac:dyDescent="0.1">
      <c r="E20" s="30"/>
      <c r="F20" s="42"/>
      <c r="G20" s="50"/>
      <c r="J20" s="17"/>
      <c r="K20" s="17"/>
    </row>
    <row r="21" spans="5:11" x14ac:dyDescent="0.1">
      <c r="E21" s="30"/>
      <c r="F21" s="42"/>
      <c r="G21" s="50"/>
      <c r="J21" s="17"/>
      <c r="K21" s="17"/>
    </row>
    <row r="22" spans="5:11" x14ac:dyDescent="0.1">
      <c r="E22" s="30"/>
      <c r="F22" s="42"/>
      <c r="G22" s="52"/>
      <c r="J22" s="17"/>
      <c r="K22" s="17"/>
    </row>
    <row r="23" spans="5:11" x14ac:dyDescent="0.1">
      <c r="E23" s="30"/>
      <c r="F23" s="42"/>
      <c r="G23" s="52"/>
      <c r="J23" s="17"/>
      <c r="K23" s="17"/>
    </row>
    <row r="24" spans="5:11" x14ac:dyDescent="0.1">
      <c r="E24" s="30"/>
      <c r="F24" s="42"/>
      <c r="G24" s="52"/>
      <c r="J24" s="17"/>
      <c r="K24" s="17"/>
    </row>
    <row r="25" spans="5:11" x14ac:dyDescent="0.1">
      <c r="E25" s="30"/>
      <c r="F25" s="42"/>
      <c r="G25" s="52"/>
      <c r="J25" s="17"/>
      <c r="K25" s="17"/>
    </row>
    <row r="26" spans="5:11" x14ac:dyDescent="0.1">
      <c r="E26" s="30"/>
      <c r="F26" s="42"/>
      <c r="G26" s="52"/>
      <c r="J26" s="17"/>
      <c r="K26" s="17"/>
    </row>
    <row r="27" spans="5:11" x14ac:dyDescent="0.1">
      <c r="E27" s="30"/>
      <c r="F27" s="42"/>
      <c r="G27" s="52"/>
      <c r="J27" s="17"/>
      <c r="K27" s="17"/>
    </row>
    <row r="28" spans="5:11" x14ac:dyDescent="0.1">
      <c r="E28" s="30"/>
      <c r="F28" s="42"/>
      <c r="G28" s="52"/>
      <c r="J28" s="17"/>
      <c r="K28" s="17"/>
    </row>
    <row r="29" spans="5:11" x14ac:dyDescent="0.1">
      <c r="E29" s="30"/>
      <c r="F29" s="42"/>
      <c r="G29" s="52"/>
      <c r="J29" s="17"/>
      <c r="K29" s="17"/>
    </row>
    <row r="30" spans="5:11" x14ac:dyDescent="0.1">
      <c r="E30" s="30"/>
      <c r="F30" s="42"/>
      <c r="G30" s="52"/>
      <c r="J30" s="17"/>
      <c r="K30" s="17"/>
    </row>
    <row r="31" spans="5:11" x14ac:dyDescent="0.1">
      <c r="E31" s="30"/>
      <c r="F31" s="42"/>
      <c r="G31" s="52"/>
      <c r="J31" s="17"/>
      <c r="K31" s="17"/>
    </row>
    <row r="32" spans="5:11" x14ac:dyDescent="0.1">
      <c r="E32" s="30"/>
      <c r="F32" s="42"/>
      <c r="G32" s="52"/>
      <c r="J32" s="17"/>
      <c r="K32" s="17"/>
    </row>
    <row r="33" spans="5:11" x14ac:dyDescent="0.1">
      <c r="E33" s="30"/>
      <c r="F33" s="42"/>
      <c r="G33" s="52"/>
      <c r="J33" s="17"/>
      <c r="K33" s="17"/>
    </row>
    <row r="34" spans="5:11" x14ac:dyDescent="0.1">
      <c r="E34" s="30"/>
      <c r="F34" s="42"/>
      <c r="G34" s="52"/>
      <c r="J34" s="17"/>
      <c r="K34" s="17"/>
    </row>
    <row r="35" spans="5:11" x14ac:dyDescent="0.1">
      <c r="E35" s="30"/>
      <c r="F35" s="42"/>
      <c r="G35" s="52"/>
      <c r="J35" s="17"/>
      <c r="K35" s="17"/>
    </row>
    <row r="36" spans="5:11" x14ac:dyDescent="0.1">
      <c r="E36" s="30"/>
      <c r="F36" s="42"/>
      <c r="G36" s="52"/>
      <c r="J36" s="17"/>
      <c r="K36" s="17"/>
    </row>
    <row r="37" spans="5:11" x14ac:dyDescent="0.1">
      <c r="E37" s="30"/>
      <c r="F37" s="42"/>
      <c r="G37" s="52"/>
      <c r="J37" s="17"/>
      <c r="K37" s="17"/>
    </row>
    <row r="38" spans="5:11" x14ac:dyDescent="0.1">
      <c r="E38" s="30"/>
      <c r="F38" s="42"/>
      <c r="G38" s="52"/>
      <c r="J38" s="17"/>
      <c r="K38" s="17"/>
    </row>
    <row r="39" spans="5:11" x14ac:dyDescent="0.1">
      <c r="E39" s="30"/>
      <c r="F39" s="42"/>
      <c r="G39" s="52"/>
      <c r="J39" s="17"/>
      <c r="K39" s="17"/>
    </row>
    <row r="40" spans="5:11" x14ac:dyDescent="0.1">
      <c r="E40" s="30"/>
      <c r="F40" s="42"/>
      <c r="G40" s="52"/>
      <c r="J40" s="17"/>
      <c r="K40" s="17"/>
    </row>
    <row r="41" spans="5:11" x14ac:dyDescent="0.1">
      <c r="E41" s="30"/>
      <c r="F41" s="42"/>
      <c r="G41" s="52"/>
      <c r="J41" s="17"/>
      <c r="K41" s="17"/>
    </row>
    <row r="42" spans="5:11" x14ac:dyDescent="0.1">
      <c r="E42" s="30"/>
      <c r="F42" s="42"/>
      <c r="G42" s="52"/>
      <c r="J42" s="17"/>
      <c r="K42" s="17"/>
    </row>
    <row r="43" spans="5:11" x14ac:dyDescent="0.1">
      <c r="E43" s="30"/>
      <c r="F43" s="42"/>
      <c r="G43" s="52"/>
      <c r="J43" s="17"/>
      <c r="K43" s="17"/>
    </row>
    <row r="44" spans="5:11" x14ac:dyDescent="0.1">
      <c r="E44" s="30"/>
      <c r="F44" s="42"/>
      <c r="G44" s="52"/>
      <c r="J44" s="17"/>
      <c r="K44" s="17"/>
    </row>
    <row r="45" spans="5:11" x14ac:dyDescent="0.1">
      <c r="E45" s="30"/>
      <c r="F45" s="42"/>
      <c r="G45" s="52"/>
      <c r="J45" s="17"/>
      <c r="K45" s="17"/>
    </row>
    <row r="46" spans="5:11" x14ac:dyDescent="0.1">
      <c r="E46" s="30"/>
      <c r="F46" s="42"/>
      <c r="G46" s="52"/>
      <c r="J46" s="17"/>
      <c r="K46" s="17"/>
    </row>
    <row r="47" spans="5:11" x14ac:dyDescent="0.1">
      <c r="E47" s="30"/>
      <c r="F47" s="42"/>
      <c r="G47" s="52"/>
      <c r="J47" s="17"/>
      <c r="K47" s="17"/>
    </row>
    <row r="48" spans="5:11" x14ac:dyDescent="0.1">
      <c r="E48" s="30"/>
      <c r="F48" s="42"/>
      <c r="G48" s="52"/>
      <c r="J48" s="17"/>
      <c r="K48" s="17"/>
    </row>
    <row r="49" spans="5:11" x14ac:dyDescent="0.1">
      <c r="E49" s="30"/>
      <c r="F49" s="42"/>
      <c r="G49" s="52"/>
      <c r="J49" s="17"/>
      <c r="K49" s="17"/>
    </row>
    <row r="50" spans="5:11" x14ac:dyDescent="0.1">
      <c r="E50" s="30"/>
      <c r="F50" s="42"/>
      <c r="G50" s="52"/>
      <c r="J50" s="17"/>
      <c r="K50" s="17"/>
    </row>
    <row r="51" spans="5:11" x14ac:dyDescent="0.1">
      <c r="E51" s="30"/>
      <c r="F51" s="42"/>
      <c r="G51" s="52"/>
      <c r="J51" s="17"/>
      <c r="K51" s="17"/>
    </row>
    <row r="52" spans="5:11" x14ac:dyDescent="0.1">
      <c r="E52" s="30"/>
      <c r="F52" s="42"/>
      <c r="G52" s="52"/>
      <c r="J52" s="17"/>
      <c r="K52" s="17"/>
    </row>
    <row r="53" spans="5:11" x14ac:dyDescent="0.1">
      <c r="E53" s="30"/>
      <c r="F53" s="42"/>
      <c r="G53" s="52"/>
      <c r="J53" s="17"/>
      <c r="K53" s="17"/>
    </row>
    <row r="54" spans="5:11" x14ac:dyDescent="0.1">
      <c r="E54" s="30"/>
      <c r="F54" s="42"/>
      <c r="G54" s="52"/>
      <c r="J54" s="17"/>
      <c r="K54" s="17"/>
    </row>
    <row r="55" spans="5:11" x14ac:dyDescent="0.1">
      <c r="E55" s="30"/>
      <c r="F55" s="42"/>
      <c r="G55" s="52"/>
      <c r="J55" s="17"/>
      <c r="K55" s="17"/>
    </row>
    <row r="56" spans="5:11" x14ac:dyDescent="0.1">
      <c r="E56" s="30"/>
      <c r="F56" s="42"/>
      <c r="G56" s="52"/>
      <c r="J56" s="17"/>
      <c r="K56" s="17"/>
    </row>
    <row r="57" spans="5:11" x14ac:dyDescent="0.1">
      <c r="E57" s="30"/>
      <c r="F57" s="42"/>
      <c r="G57" s="52"/>
      <c r="J57" s="17"/>
      <c r="K57" s="17"/>
    </row>
    <row r="58" spans="5:11" x14ac:dyDescent="0.1">
      <c r="E58" s="30"/>
      <c r="F58" s="42"/>
      <c r="G58" s="52"/>
      <c r="J58" s="17"/>
      <c r="K58" s="17"/>
    </row>
    <row r="59" spans="5:11" x14ac:dyDescent="0.1">
      <c r="E59" s="30"/>
      <c r="F59" s="42"/>
      <c r="G59" s="52"/>
      <c r="J59" s="17"/>
      <c r="K59" s="17"/>
    </row>
    <row r="60" spans="5:11" x14ac:dyDescent="0.1">
      <c r="E60" s="30"/>
      <c r="F60" s="42"/>
      <c r="G60" s="52"/>
      <c r="J60" s="17"/>
      <c r="K60" s="17"/>
    </row>
    <row r="61" spans="5:11" x14ac:dyDescent="0.1">
      <c r="E61" s="30"/>
      <c r="F61" s="42"/>
      <c r="G61" s="52"/>
      <c r="J61" s="17"/>
      <c r="K61" s="17"/>
    </row>
    <row r="62" spans="5:11" x14ac:dyDescent="0.1">
      <c r="E62" s="30"/>
      <c r="F62" s="42"/>
      <c r="G62" s="52"/>
      <c r="J62" s="17"/>
      <c r="K62" s="17"/>
    </row>
    <row r="63" spans="5:11" x14ac:dyDescent="0.1">
      <c r="E63" s="30"/>
      <c r="F63" s="42"/>
      <c r="G63" s="52"/>
      <c r="J63" s="17"/>
      <c r="K63" s="17"/>
    </row>
    <row r="64" spans="5:11" x14ac:dyDescent="0.1">
      <c r="E64" s="30"/>
      <c r="F64" s="42"/>
      <c r="G64" s="52"/>
      <c r="J64" s="17"/>
      <c r="K64" s="17"/>
    </row>
    <row r="65" spans="5:11" x14ac:dyDescent="0.1">
      <c r="E65" s="30"/>
      <c r="F65" s="42"/>
      <c r="G65" s="52"/>
      <c r="J65" s="17"/>
      <c r="K65" s="17"/>
    </row>
    <row r="66" spans="5:11" x14ac:dyDescent="0.1">
      <c r="E66" s="30"/>
      <c r="F66" s="42"/>
      <c r="G66" s="52"/>
      <c r="J66" s="17"/>
      <c r="K66" s="17"/>
    </row>
    <row r="67" spans="5:11" x14ac:dyDescent="0.1">
      <c r="E67" s="30"/>
      <c r="F67" s="42"/>
      <c r="G67" s="52"/>
      <c r="J67" s="17"/>
      <c r="K67" s="17"/>
    </row>
    <row r="68" spans="5:11" x14ac:dyDescent="0.1">
      <c r="E68" s="30"/>
      <c r="F68" s="42"/>
      <c r="G68" s="52"/>
      <c r="J68" s="17"/>
      <c r="K68" s="17"/>
    </row>
    <row r="69" spans="5:11" x14ac:dyDescent="0.1">
      <c r="E69" s="30"/>
      <c r="F69" s="42"/>
      <c r="G69" s="52"/>
      <c r="J69" s="17"/>
      <c r="K69" s="17"/>
    </row>
    <row r="70" spans="5:11" x14ac:dyDescent="0.1">
      <c r="E70" s="30"/>
      <c r="F70" s="42"/>
      <c r="G70" s="52"/>
      <c r="J70" s="17"/>
      <c r="K70" s="17"/>
    </row>
    <row r="71" spans="5:11" x14ac:dyDescent="0.1">
      <c r="E71" s="30"/>
      <c r="F71" s="42"/>
      <c r="G71" s="52"/>
      <c r="J71" s="17"/>
      <c r="K71" s="17"/>
    </row>
    <row r="72" spans="5:11" x14ac:dyDescent="0.1">
      <c r="E72" s="30"/>
      <c r="F72" s="42"/>
      <c r="G72" s="52"/>
      <c r="J72" s="17"/>
      <c r="K72" s="17"/>
    </row>
    <row r="73" spans="5:11" x14ac:dyDescent="0.1">
      <c r="E73" s="30"/>
      <c r="F73" s="42"/>
      <c r="G73" s="52"/>
      <c r="J73" s="17"/>
      <c r="K73" s="17"/>
    </row>
    <row r="74" spans="5:11" x14ac:dyDescent="0.1">
      <c r="E74" s="30"/>
      <c r="F74" s="42"/>
      <c r="G74" s="52"/>
      <c r="J74" s="17"/>
      <c r="K74" s="17"/>
    </row>
    <row r="75" spans="5:11" x14ac:dyDescent="0.1">
      <c r="E75" s="30"/>
      <c r="F75" s="42"/>
      <c r="G75" s="52"/>
      <c r="J75" s="17"/>
      <c r="K75" s="17"/>
    </row>
    <row r="76" spans="5:11" x14ac:dyDescent="0.1">
      <c r="E76" s="30"/>
      <c r="F76" s="42"/>
      <c r="G76" s="52"/>
      <c r="J76" s="17"/>
      <c r="K76" s="17"/>
    </row>
    <row r="77" spans="5:11" x14ac:dyDescent="0.1">
      <c r="E77" s="30"/>
      <c r="F77" s="42"/>
      <c r="G77" s="52"/>
      <c r="J77" s="17"/>
      <c r="K77" s="17"/>
    </row>
    <row r="78" spans="5:11" x14ac:dyDescent="0.1">
      <c r="E78" s="30"/>
      <c r="F78" s="42"/>
      <c r="G78" s="52"/>
      <c r="J78" s="17"/>
      <c r="K78" s="17"/>
    </row>
    <row r="79" spans="5:11" x14ac:dyDescent="0.1">
      <c r="E79" s="30"/>
      <c r="F79" s="42"/>
      <c r="G79" s="52"/>
      <c r="J79" s="17"/>
      <c r="K79" s="17"/>
    </row>
    <row r="80" spans="5:11" x14ac:dyDescent="0.1">
      <c r="E80" s="30"/>
      <c r="F80" s="42"/>
      <c r="G80" s="52"/>
      <c r="J80" s="17"/>
      <c r="K80" s="17"/>
    </row>
    <row r="81" spans="5:11" x14ac:dyDescent="0.1">
      <c r="E81" s="30"/>
      <c r="F81" s="42"/>
      <c r="G81" s="52"/>
      <c r="J81" s="17"/>
      <c r="K81" s="17"/>
    </row>
    <row r="82" spans="5:11" x14ac:dyDescent="0.1">
      <c r="E82" s="30"/>
      <c r="F82" s="42"/>
      <c r="G82" s="52"/>
      <c r="J82" s="17"/>
      <c r="K82" s="17"/>
    </row>
    <row r="83" spans="5:11" x14ac:dyDescent="0.1">
      <c r="E83" s="30"/>
      <c r="F83" s="42"/>
      <c r="G83" s="52"/>
      <c r="J83" s="17"/>
      <c r="K83" s="17"/>
    </row>
    <row r="84" spans="5:11" x14ac:dyDescent="0.1">
      <c r="E84" s="30"/>
      <c r="F84" s="42"/>
      <c r="G84" s="52"/>
      <c r="J84" s="17"/>
      <c r="K84" s="17"/>
    </row>
    <row r="85" spans="5:11" x14ac:dyDescent="0.1">
      <c r="E85" s="30"/>
      <c r="F85" s="42"/>
      <c r="G85" s="52"/>
      <c r="J85" s="17"/>
      <c r="K85" s="17"/>
    </row>
    <row r="86" spans="5:11" x14ac:dyDescent="0.1">
      <c r="E86" s="30"/>
      <c r="F86" s="42"/>
      <c r="G86" s="52"/>
      <c r="J86" s="17"/>
      <c r="K86" s="17"/>
    </row>
    <row r="87" spans="5:11" x14ac:dyDescent="0.1">
      <c r="E87" s="30"/>
      <c r="F87" s="42"/>
      <c r="G87" s="52"/>
      <c r="J87" s="17"/>
      <c r="K87" s="17"/>
    </row>
    <row r="88" spans="5:11" x14ac:dyDescent="0.1">
      <c r="E88" s="30"/>
      <c r="F88" s="42"/>
      <c r="G88" s="52"/>
      <c r="J88" s="17"/>
      <c r="K88" s="17"/>
    </row>
    <row r="89" spans="5:11" x14ac:dyDescent="0.1">
      <c r="E89" s="30"/>
      <c r="F89" s="42"/>
      <c r="G89" s="52"/>
      <c r="J89" s="17"/>
      <c r="K89" s="17"/>
    </row>
    <row r="90" spans="5:11" x14ac:dyDescent="0.1">
      <c r="E90" s="30"/>
      <c r="F90" s="42"/>
      <c r="G90" s="52"/>
      <c r="J90" s="17"/>
      <c r="K90" s="17"/>
    </row>
    <row r="91" spans="5:11" x14ac:dyDescent="0.1">
      <c r="E91" s="30"/>
      <c r="F91" s="42"/>
      <c r="G91" s="52"/>
      <c r="J91" s="17"/>
      <c r="K91" s="17"/>
    </row>
    <row r="92" spans="5:11" x14ac:dyDescent="0.1">
      <c r="E92" s="30"/>
      <c r="F92" s="42"/>
      <c r="G92" s="52"/>
      <c r="J92" s="17"/>
      <c r="K92" s="17"/>
    </row>
    <row r="93" spans="5:11" x14ac:dyDescent="0.1">
      <c r="E93" s="30"/>
      <c r="F93" s="42"/>
      <c r="G93" s="52"/>
      <c r="J93" s="17"/>
      <c r="K93" s="17"/>
    </row>
    <row r="94" spans="5:11" x14ac:dyDescent="0.1">
      <c r="E94" s="30"/>
      <c r="F94" s="42"/>
      <c r="G94" s="52"/>
      <c r="J94" s="17"/>
      <c r="K94" s="17"/>
    </row>
    <row r="95" spans="5:11" x14ac:dyDescent="0.1">
      <c r="E95" s="30"/>
      <c r="F95" s="42"/>
      <c r="G95" s="52"/>
      <c r="J95" s="17"/>
      <c r="K95" s="17"/>
    </row>
    <row r="96" spans="5:11" x14ac:dyDescent="0.1">
      <c r="E96" s="30"/>
      <c r="F96" s="42"/>
      <c r="G96" s="52"/>
      <c r="J96" s="17"/>
      <c r="K96" s="17"/>
    </row>
    <row r="97" spans="5:11" x14ac:dyDescent="0.1">
      <c r="E97" s="30"/>
      <c r="F97" s="42"/>
      <c r="G97" s="52"/>
      <c r="J97" s="17"/>
      <c r="K97" s="17"/>
    </row>
    <row r="98" spans="5:11" x14ac:dyDescent="0.1">
      <c r="E98" s="30"/>
      <c r="F98" s="42"/>
      <c r="G98" s="52"/>
      <c r="J98" s="17"/>
      <c r="K98" s="17"/>
    </row>
    <row r="99" spans="5:11" x14ac:dyDescent="0.1">
      <c r="E99" s="30"/>
      <c r="F99" s="42"/>
      <c r="G99" s="52"/>
      <c r="J99" s="17"/>
      <c r="K99" s="17"/>
    </row>
    <row r="100" spans="5:11" x14ac:dyDescent="0.1">
      <c r="E100" s="30"/>
      <c r="F100" s="42"/>
      <c r="G100" s="52"/>
      <c r="J100" s="17"/>
      <c r="K100" s="17"/>
    </row>
    <row r="101" spans="5:11" x14ac:dyDescent="0.1">
      <c r="E101" s="30"/>
      <c r="F101" s="42"/>
      <c r="G101" s="52"/>
      <c r="J101" s="17"/>
      <c r="K101" s="17"/>
    </row>
    <row r="102" spans="5:11" x14ac:dyDescent="0.2">
      <c r="E102" s="10"/>
      <c r="F102" s="53"/>
      <c r="G102" s="35"/>
      <c r="J102" s="17"/>
      <c r="K102" s="17"/>
    </row>
    <row r="103" spans="5:11" x14ac:dyDescent="0.2">
      <c r="E103" s="10"/>
      <c r="F103" s="53"/>
      <c r="G103" s="35"/>
      <c r="J103" s="17"/>
      <c r="K103" s="17"/>
    </row>
    <row r="104" spans="5:11" x14ac:dyDescent="0.2">
      <c r="E104" s="10"/>
      <c r="F104" s="53"/>
      <c r="G104" s="35"/>
      <c r="J104" s="17"/>
      <c r="K104" s="17"/>
    </row>
    <row r="105" spans="5:11" x14ac:dyDescent="0.2">
      <c r="E105" s="10"/>
      <c r="F105" s="53"/>
      <c r="G105" s="35"/>
      <c r="J105" s="17"/>
      <c r="K105" s="17"/>
    </row>
    <row r="106" spans="5:11" x14ac:dyDescent="0.2">
      <c r="E106" s="10"/>
      <c r="F106" s="53"/>
      <c r="G106" s="35"/>
      <c r="J106" s="17"/>
      <c r="K106" s="17"/>
    </row>
    <row r="107" spans="5:11" x14ac:dyDescent="0.2">
      <c r="E107" s="10"/>
      <c r="F107" s="53"/>
      <c r="G107" s="35"/>
      <c r="J107" s="17"/>
      <c r="K107" s="17"/>
    </row>
    <row r="108" spans="5:11" x14ac:dyDescent="0.2">
      <c r="E108" s="10"/>
      <c r="F108" s="53"/>
      <c r="G108" s="35"/>
      <c r="J108" s="17"/>
      <c r="K108" s="17"/>
    </row>
    <row r="109" spans="5:11" x14ac:dyDescent="0.2">
      <c r="E109" s="10"/>
      <c r="F109" s="53"/>
      <c r="G109" s="35"/>
      <c r="J109" s="17"/>
      <c r="K109" s="17"/>
    </row>
    <row r="110" spans="5:11" x14ac:dyDescent="0.2">
      <c r="E110" s="10"/>
      <c r="F110" s="53"/>
      <c r="G110" s="35"/>
      <c r="J110" s="17"/>
      <c r="K110" s="17"/>
    </row>
    <row r="111" spans="5:11" x14ac:dyDescent="0.2">
      <c r="E111" s="10"/>
      <c r="F111" s="53"/>
      <c r="G111" s="35"/>
      <c r="J111" s="17"/>
      <c r="K111" s="17"/>
    </row>
    <row r="112" spans="5:11" x14ac:dyDescent="0.2">
      <c r="E112" s="10"/>
      <c r="F112" s="53"/>
      <c r="G112" s="35"/>
      <c r="J112" s="17"/>
      <c r="K112" s="17"/>
    </row>
    <row r="113" spans="5:11" x14ac:dyDescent="0.2">
      <c r="E113" s="10"/>
      <c r="F113" s="53"/>
      <c r="G113" s="35"/>
      <c r="J113" s="17"/>
      <c r="K113" s="17"/>
    </row>
    <row r="114" spans="5:11" x14ac:dyDescent="0.2">
      <c r="E114" s="10"/>
      <c r="F114" s="53"/>
      <c r="G114" s="35"/>
      <c r="J114" s="17"/>
      <c r="K114" s="17"/>
    </row>
    <row r="115" spans="5:11" x14ac:dyDescent="0.2">
      <c r="E115" s="10"/>
      <c r="F115" s="53"/>
      <c r="G115" s="35"/>
      <c r="J115" s="17"/>
      <c r="K115" s="17"/>
    </row>
    <row r="116" spans="5:11" x14ac:dyDescent="0.2">
      <c r="E116" s="10"/>
      <c r="F116" s="53"/>
      <c r="G116" s="35"/>
      <c r="J116" s="17"/>
      <c r="K116" s="17"/>
    </row>
    <row r="117" spans="5:11" x14ac:dyDescent="0.2">
      <c r="E117" s="10"/>
      <c r="F117" s="53"/>
      <c r="G117" s="35"/>
      <c r="J117" s="17"/>
      <c r="K117" s="17"/>
    </row>
    <row r="118" spans="5:11" x14ac:dyDescent="0.2">
      <c r="E118" s="10"/>
      <c r="F118" s="53"/>
      <c r="G118" s="35"/>
      <c r="J118" s="17"/>
      <c r="K118" s="17"/>
    </row>
    <row r="119" spans="5:11" x14ac:dyDescent="0.2">
      <c r="E119" s="10"/>
      <c r="F119" s="53"/>
      <c r="G119" s="35"/>
      <c r="J119" s="17"/>
      <c r="K119" s="17"/>
    </row>
    <row r="120" spans="5:11" x14ac:dyDescent="0.2">
      <c r="E120" s="10"/>
      <c r="F120" s="53"/>
      <c r="G120" s="35"/>
      <c r="J120" s="17"/>
      <c r="K120" s="17"/>
    </row>
    <row r="121" spans="5:11" x14ac:dyDescent="0.2">
      <c r="E121" s="10"/>
      <c r="F121" s="53"/>
      <c r="G121" s="35"/>
      <c r="J121" s="17"/>
      <c r="K121" s="17"/>
    </row>
    <row r="122" spans="5:11" x14ac:dyDescent="0.2">
      <c r="E122" s="10"/>
      <c r="F122" s="53"/>
      <c r="G122" s="35"/>
      <c r="J122" s="17"/>
      <c r="K122" s="17"/>
    </row>
    <row r="123" spans="5:11" x14ac:dyDescent="0.2">
      <c r="E123" s="10"/>
      <c r="F123" s="53"/>
      <c r="G123" s="35"/>
      <c r="J123" s="17"/>
      <c r="K123" s="17"/>
    </row>
    <row r="124" spans="5:11" x14ac:dyDescent="0.2">
      <c r="E124" s="10"/>
      <c r="F124" s="53"/>
      <c r="G124" s="35"/>
      <c r="J124" s="17"/>
      <c r="K124" s="17"/>
    </row>
    <row r="125" spans="5:11" x14ac:dyDescent="0.2">
      <c r="E125" s="10"/>
      <c r="F125" s="53"/>
      <c r="G125" s="35"/>
      <c r="J125" s="17"/>
      <c r="K125" s="17"/>
    </row>
    <row r="126" spans="5:11" x14ac:dyDescent="0.2">
      <c r="E126" s="10"/>
      <c r="F126" s="53"/>
      <c r="G126" s="35"/>
      <c r="J126" s="17"/>
      <c r="K126" s="17"/>
    </row>
    <row r="127" spans="5:11" x14ac:dyDescent="0.2">
      <c r="E127" s="10"/>
      <c r="F127" s="53"/>
      <c r="G127" s="35"/>
      <c r="J127" s="17"/>
      <c r="K127" s="17"/>
    </row>
    <row r="128" spans="5:11" x14ac:dyDescent="0.2">
      <c r="E128" s="10"/>
      <c r="F128" s="53"/>
      <c r="G128" s="35"/>
      <c r="J128" s="17"/>
      <c r="K128" s="17"/>
    </row>
    <row r="129" spans="5:11" x14ac:dyDescent="0.2">
      <c r="E129" s="10"/>
      <c r="F129" s="53"/>
      <c r="G129" s="35"/>
      <c r="J129" s="17"/>
      <c r="K129" s="17"/>
    </row>
    <row r="130" spans="5:11" x14ac:dyDescent="0.2">
      <c r="E130" s="10"/>
      <c r="F130" s="53"/>
      <c r="G130" s="35"/>
      <c r="J130" s="17"/>
      <c r="K130" s="17"/>
    </row>
    <row r="131" spans="5:11" x14ac:dyDescent="0.2">
      <c r="E131" s="10"/>
      <c r="F131" s="53"/>
      <c r="G131" s="35"/>
      <c r="J131" s="17"/>
      <c r="K131" s="17"/>
    </row>
    <row r="132" spans="5:11" x14ac:dyDescent="0.2">
      <c r="E132" s="10"/>
      <c r="F132" s="53"/>
      <c r="G132" s="35"/>
      <c r="J132" s="17"/>
      <c r="K132" s="17"/>
    </row>
    <row r="133" spans="5:11" x14ac:dyDescent="0.2">
      <c r="E133" s="10"/>
      <c r="F133" s="53"/>
      <c r="G133" s="35"/>
      <c r="J133" s="17"/>
      <c r="K133" s="17"/>
    </row>
    <row r="134" spans="5:11" x14ac:dyDescent="0.2">
      <c r="E134" s="10"/>
      <c r="F134" s="53"/>
      <c r="G134" s="35"/>
      <c r="J134" s="17"/>
      <c r="K134" s="17"/>
    </row>
    <row r="135" spans="5:11" x14ac:dyDescent="0.2">
      <c r="E135" s="10"/>
      <c r="F135" s="53"/>
      <c r="G135" s="35"/>
      <c r="J135" s="17"/>
      <c r="K135" s="17"/>
    </row>
    <row r="136" spans="5:11" x14ac:dyDescent="0.2">
      <c r="E136" s="10"/>
      <c r="F136" s="53"/>
      <c r="G136" s="35"/>
      <c r="J136" s="17"/>
      <c r="K136" s="17"/>
    </row>
    <row r="137" spans="5:11" x14ac:dyDescent="0.2">
      <c r="E137" s="10"/>
      <c r="F137" s="53"/>
      <c r="G137" s="35"/>
      <c r="J137" s="17"/>
      <c r="K137" s="17"/>
    </row>
    <row r="138" spans="5:11" x14ac:dyDescent="0.2">
      <c r="E138" s="10"/>
      <c r="F138" s="53"/>
      <c r="G138" s="35"/>
      <c r="J138" s="17"/>
      <c r="K138" s="17"/>
    </row>
    <row r="139" spans="5:11" x14ac:dyDescent="0.2">
      <c r="E139" s="10"/>
      <c r="F139" s="53"/>
      <c r="G139" s="35"/>
      <c r="J139" s="17"/>
      <c r="K139" s="17"/>
    </row>
    <row r="140" spans="5:11" x14ac:dyDescent="0.2">
      <c r="E140" s="10"/>
      <c r="F140" s="53"/>
      <c r="G140" s="35"/>
      <c r="J140" s="17"/>
      <c r="K140" s="17"/>
    </row>
    <row r="141" spans="5:11" x14ac:dyDescent="0.2">
      <c r="E141" s="10"/>
      <c r="F141" s="53"/>
      <c r="G141" s="35"/>
      <c r="J141" s="17"/>
      <c r="K141" s="17"/>
    </row>
    <row r="142" spans="5:11" x14ac:dyDescent="0.2">
      <c r="E142" s="45"/>
      <c r="F142" s="53"/>
      <c r="G142" s="35"/>
      <c r="J142" s="17"/>
      <c r="K142" s="17"/>
    </row>
    <row r="143" spans="5:11" x14ac:dyDescent="0.2">
      <c r="E143" s="45"/>
      <c r="F143" s="53"/>
      <c r="G143" s="35"/>
      <c r="J143" s="17"/>
      <c r="K143" s="17"/>
    </row>
    <row r="144" spans="5:11" x14ac:dyDescent="0.2">
      <c r="E144" s="10"/>
      <c r="F144" s="53"/>
      <c r="G144" s="35"/>
      <c r="J144" s="17"/>
      <c r="K144" s="17"/>
    </row>
    <row r="145" spans="5:11" x14ac:dyDescent="0.2">
      <c r="E145" s="10"/>
      <c r="F145" s="53"/>
      <c r="G145" s="35"/>
      <c r="J145" s="17"/>
      <c r="K145" s="17"/>
    </row>
    <row r="146" spans="5:11" x14ac:dyDescent="0.2">
      <c r="E146" s="10"/>
      <c r="F146" s="53"/>
      <c r="G146" s="35"/>
      <c r="J146" s="17"/>
      <c r="K146" s="17"/>
    </row>
    <row r="147" spans="5:11" x14ac:dyDescent="0.2">
      <c r="E147" s="10"/>
      <c r="F147" s="53"/>
      <c r="G147" s="35"/>
      <c r="J147" s="17"/>
      <c r="K147" s="17"/>
    </row>
    <row r="148" spans="5:11" x14ac:dyDescent="0.2">
      <c r="E148" s="10"/>
      <c r="F148" s="53"/>
      <c r="G148" s="35"/>
      <c r="J148" s="17"/>
      <c r="K148" s="17"/>
    </row>
    <row r="149" spans="5:11" x14ac:dyDescent="0.2">
      <c r="E149" s="10"/>
      <c r="F149" s="53"/>
      <c r="G149" s="35"/>
      <c r="J149" s="17"/>
      <c r="K149" s="17"/>
    </row>
    <row r="150" spans="5:11" x14ac:dyDescent="0.2">
      <c r="E150" s="10"/>
      <c r="F150" s="53"/>
      <c r="G150" s="35"/>
      <c r="J150" s="17"/>
      <c r="K150" s="17"/>
    </row>
    <row r="151" spans="5:11" x14ac:dyDescent="0.2">
      <c r="E151" s="10"/>
      <c r="F151" s="53"/>
      <c r="G151" s="35"/>
      <c r="J151" s="17"/>
      <c r="K151" s="17"/>
    </row>
    <row r="152" spans="5:11" x14ac:dyDescent="0.2">
      <c r="E152" s="10"/>
      <c r="F152" s="53"/>
      <c r="G152" s="35"/>
      <c r="J152" s="17"/>
      <c r="K152" s="17"/>
    </row>
    <row r="153" spans="5:11" x14ac:dyDescent="0.2">
      <c r="E153" s="10"/>
      <c r="F153" s="53"/>
      <c r="G153" s="35"/>
      <c r="J153" s="17"/>
      <c r="K153" s="17"/>
    </row>
    <row r="154" spans="5:11" x14ac:dyDescent="0.2">
      <c r="E154" s="10"/>
      <c r="F154" s="53"/>
      <c r="G154" s="9"/>
      <c r="J154" s="17"/>
      <c r="K154" s="17"/>
    </row>
    <row r="155" spans="5:11" x14ac:dyDescent="0.2">
      <c r="E155" s="10"/>
      <c r="F155" s="53"/>
      <c r="G155" s="9"/>
      <c r="J155" s="17"/>
      <c r="K155" s="17"/>
    </row>
    <row r="156" spans="5:11" x14ac:dyDescent="0.2">
      <c r="E156" s="10"/>
      <c r="F156" s="53"/>
      <c r="G156" s="9"/>
      <c r="J156" s="17"/>
      <c r="K156" s="17"/>
    </row>
    <row r="157" spans="5:11" x14ac:dyDescent="0.2">
      <c r="E157" s="10"/>
      <c r="F157" s="53"/>
      <c r="G157" s="9"/>
      <c r="J157" s="17"/>
      <c r="K157" s="17"/>
    </row>
    <row r="158" spans="5:11" x14ac:dyDescent="0.2">
      <c r="E158" s="10"/>
      <c r="F158" s="53"/>
      <c r="G158" s="9"/>
      <c r="J158" s="17"/>
      <c r="K158" s="17"/>
    </row>
    <row r="159" spans="5:11" x14ac:dyDescent="0.2">
      <c r="E159" s="10"/>
      <c r="F159" s="53"/>
      <c r="G159" s="9"/>
      <c r="J159" s="17"/>
      <c r="K159" s="17"/>
    </row>
    <row r="160" spans="5:11" x14ac:dyDescent="0.2">
      <c r="E160" s="10"/>
      <c r="F160" s="53"/>
      <c r="G160" s="9"/>
      <c r="J160" s="17"/>
      <c r="K160" s="17"/>
    </row>
    <row r="161" spans="5:11" x14ac:dyDescent="0.2">
      <c r="E161" s="10"/>
      <c r="F161" s="53"/>
      <c r="G161" s="9"/>
      <c r="J161" s="17"/>
      <c r="K161" s="17"/>
    </row>
    <row r="162" spans="5:11" x14ac:dyDescent="0.2">
      <c r="E162" s="10"/>
      <c r="F162" s="53"/>
      <c r="G162" s="9"/>
      <c r="J162" s="17"/>
      <c r="K162" s="17"/>
    </row>
    <row r="163" spans="5:11" x14ac:dyDescent="0.2">
      <c r="E163" s="10"/>
      <c r="F163" s="53"/>
      <c r="G163" s="9"/>
      <c r="J163" s="17"/>
      <c r="K163" s="17"/>
    </row>
    <row r="164" spans="5:11" x14ac:dyDescent="0.2">
      <c r="E164" s="10"/>
      <c r="F164" s="53"/>
      <c r="G164" s="9"/>
      <c r="J164" s="17"/>
      <c r="K164" s="17"/>
    </row>
    <row r="165" spans="5:11" x14ac:dyDescent="0.2">
      <c r="E165" s="10"/>
      <c r="F165" s="53"/>
      <c r="G165" s="9"/>
      <c r="J165" s="17"/>
      <c r="K165" s="17"/>
    </row>
    <row r="166" spans="5:11" x14ac:dyDescent="0.2">
      <c r="E166" s="10"/>
      <c r="F166" s="53"/>
      <c r="G166" s="9"/>
      <c r="J166" s="17"/>
      <c r="K166" s="17"/>
    </row>
    <row r="167" spans="5:11" x14ac:dyDescent="0.2">
      <c r="E167" s="10"/>
      <c r="F167" s="53"/>
      <c r="G167" s="9"/>
      <c r="J167" s="17"/>
      <c r="K167" s="17"/>
    </row>
    <row r="168" spans="5:11" x14ac:dyDescent="0.2">
      <c r="E168" s="10"/>
      <c r="F168" s="53"/>
      <c r="G168" s="9"/>
      <c r="J168" s="17"/>
      <c r="K168" s="17"/>
    </row>
    <row r="169" spans="5:11" x14ac:dyDescent="0.2">
      <c r="E169" s="10"/>
      <c r="F169" s="53"/>
      <c r="G169" s="9"/>
      <c r="J169" s="17"/>
      <c r="K169" s="17"/>
    </row>
    <row r="170" spans="5:11" x14ac:dyDescent="0.2">
      <c r="E170" s="10"/>
      <c r="F170" s="53"/>
      <c r="G170" s="9"/>
      <c r="J170" s="17"/>
      <c r="K170" s="17"/>
    </row>
    <row r="171" spans="5:11" x14ac:dyDescent="0.2">
      <c r="E171" s="10"/>
      <c r="F171" s="53"/>
      <c r="G171" s="9"/>
      <c r="J171" s="17"/>
      <c r="K171" s="17"/>
    </row>
    <row r="172" spans="5:11" x14ac:dyDescent="0.2">
      <c r="E172" s="10"/>
      <c r="F172" s="53"/>
      <c r="G172" s="9"/>
      <c r="J172" s="17"/>
      <c r="K172" s="17"/>
    </row>
    <row r="173" spans="5:11" x14ac:dyDescent="0.2">
      <c r="E173" s="10"/>
      <c r="F173" s="53"/>
      <c r="G173" s="9"/>
      <c r="J173" s="17"/>
      <c r="K173" s="17"/>
    </row>
    <row r="174" spans="5:11" x14ac:dyDescent="0.2">
      <c r="E174" s="10"/>
      <c r="F174" s="53"/>
      <c r="G174" s="9"/>
      <c r="J174" s="17"/>
      <c r="K174" s="17"/>
    </row>
    <row r="175" spans="5:11" x14ac:dyDescent="0.2">
      <c r="E175" s="10"/>
      <c r="F175" s="53"/>
      <c r="G175" s="9"/>
      <c r="J175" s="17"/>
      <c r="K175" s="17"/>
    </row>
    <row r="176" spans="5:11" x14ac:dyDescent="0.2">
      <c r="E176" s="10"/>
      <c r="F176" s="53"/>
      <c r="G176" s="9"/>
      <c r="J176" s="17"/>
      <c r="K176" s="17"/>
    </row>
    <row r="177" spans="5:11" x14ac:dyDescent="0.2">
      <c r="E177" s="10"/>
      <c r="F177" s="53"/>
      <c r="G177" s="9"/>
      <c r="J177" s="17"/>
      <c r="K177" s="17"/>
    </row>
    <row r="178" spans="5:11" x14ac:dyDescent="0.2">
      <c r="E178" s="10"/>
      <c r="F178" s="53"/>
      <c r="G178" s="9"/>
      <c r="J178" s="17"/>
      <c r="K178" s="17"/>
    </row>
    <row r="179" spans="5:11" x14ac:dyDescent="0.2">
      <c r="E179" s="10"/>
      <c r="F179" s="53"/>
      <c r="G179" s="9"/>
      <c r="J179" s="17"/>
      <c r="K179" s="17"/>
    </row>
    <row r="180" spans="5:11" x14ac:dyDescent="0.2">
      <c r="E180" s="10"/>
      <c r="F180" s="53"/>
      <c r="G180" s="9"/>
      <c r="J180" s="17"/>
      <c r="K180" s="17"/>
    </row>
    <row r="181" spans="5:11" x14ac:dyDescent="0.2">
      <c r="E181" s="10"/>
      <c r="F181" s="53"/>
      <c r="G181" s="9"/>
      <c r="J181" s="17"/>
      <c r="K181" s="17"/>
    </row>
    <row r="182" spans="5:11" x14ac:dyDescent="0.2">
      <c r="E182" s="10"/>
      <c r="F182" s="53"/>
      <c r="G182" s="9"/>
      <c r="J182" s="17"/>
      <c r="K182" s="17"/>
    </row>
    <row r="183" spans="5:11" x14ac:dyDescent="0.2">
      <c r="E183" s="10"/>
      <c r="F183" s="53"/>
      <c r="G183" s="9"/>
      <c r="J183" s="17"/>
      <c r="K183" s="17"/>
    </row>
    <row r="184" spans="5:11" x14ac:dyDescent="0.2">
      <c r="E184" s="10"/>
      <c r="F184" s="53"/>
      <c r="G184" s="9"/>
      <c r="J184" s="17"/>
      <c r="K184" s="17"/>
    </row>
    <row r="185" spans="5:11" x14ac:dyDescent="0.2">
      <c r="E185" s="10"/>
      <c r="F185" s="53"/>
      <c r="G185" s="9"/>
      <c r="J185" s="17"/>
      <c r="K185" s="17"/>
    </row>
    <row r="186" spans="5:11" x14ac:dyDescent="0.2">
      <c r="E186" s="10"/>
      <c r="F186" s="53"/>
      <c r="G186" s="9"/>
      <c r="J186" s="17"/>
      <c r="K186" s="17"/>
    </row>
    <row r="187" spans="5:11" x14ac:dyDescent="0.2">
      <c r="E187" s="10"/>
      <c r="F187" s="53"/>
      <c r="G187" s="9"/>
      <c r="J187" s="17"/>
      <c r="K187" s="17"/>
    </row>
    <row r="188" spans="5:11" x14ac:dyDescent="0.2">
      <c r="E188" s="10"/>
      <c r="F188" s="53"/>
      <c r="G188" s="9"/>
      <c r="J188" s="17"/>
      <c r="K188" s="17"/>
    </row>
    <row r="189" spans="5:11" x14ac:dyDescent="0.2">
      <c r="E189" s="10"/>
      <c r="F189" s="53"/>
      <c r="G189" s="9"/>
      <c r="J189" s="17"/>
      <c r="K189" s="17"/>
    </row>
    <row r="190" spans="5:11" x14ac:dyDescent="0.2">
      <c r="E190" s="10"/>
      <c r="F190" s="53"/>
      <c r="G190" s="9"/>
      <c r="J190" s="17"/>
      <c r="K190" s="17"/>
    </row>
    <row r="191" spans="5:11" x14ac:dyDescent="0.2">
      <c r="E191" s="10"/>
      <c r="F191" s="53"/>
      <c r="G191" s="9"/>
      <c r="J191" s="17"/>
      <c r="K191" s="17"/>
    </row>
    <row r="192" spans="5:11" x14ac:dyDescent="0.2">
      <c r="E192" s="10"/>
      <c r="F192" s="53"/>
      <c r="G192" s="9"/>
      <c r="J192" s="17"/>
      <c r="K192" s="17"/>
    </row>
    <row r="193" spans="5:11" x14ac:dyDescent="0.2">
      <c r="E193" s="10"/>
      <c r="F193" s="53"/>
      <c r="G193" s="9"/>
      <c r="J193" s="17"/>
      <c r="K193" s="17"/>
    </row>
    <row r="194" spans="5:11" x14ac:dyDescent="0.2">
      <c r="E194" s="10"/>
      <c r="F194" s="53"/>
      <c r="G194" s="9"/>
      <c r="J194" s="17"/>
      <c r="K194" s="17"/>
    </row>
    <row r="195" spans="5:11" x14ac:dyDescent="0.2">
      <c r="E195" s="10"/>
      <c r="F195" s="53"/>
      <c r="G195" s="9"/>
      <c r="J195" s="17"/>
      <c r="K195" s="17"/>
    </row>
    <row r="196" spans="5:11" x14ac:dyDescent="0.2">
      <c r="E196" s="10"/>
      <c r="F196" s="53"/>
      <c r="G196" s="9"/>
      <c r="J196" s="17"/>
      <c r="K196" s="17"/>
    </row>
    <row r="197" spans="5:11" x14ac:dyDescent="0.2">
      <c r="E197" s="10"/>
      <c r="F197" s="53"/>
      <c r="G197" s="9"/>
      <c r="J197" s="17"/>
      <c r="K197" s="17"/>
    </row>
    <row r="198" spans="5:11" x14ac:dyDescent="0.2">
      <c r="E198" s="10"/>
      <c r="F198" s="53"/>
      <c r="G198" s="9"/>
      <c r="J198" s="17"/>
      <c r="K198" s="17"/>
    </row>
    <row r="199" spans="5:11" x14ac:dyDescent="0.2">
      <c r="E199" s="10"/>
      <c r="F199" s="53"/>
      <c r="G199" s="9"/>
      <c r="J199" s="17"/>
      <c r="K199" s="17"/>
    </row>
    <row r="200" spans="5:11" x14ac:dyDescent="0.2">
      <c r="E200" s="10"/>
      <c r="F200" s="53"/>
      <c r="G200" s="9"/>
      <c r="J200" s="17"/>
      <c r="K200" s="17"/>
    </row>
    <row r="201" spans="5:11" x14ac:dyDescent="0.2">
      <c r="E201" s="10"/>
      <c r="F201" s="53"/>
      <c r="G201" s="9"/>
      <c r="J201" s="17"/>
      <c r="K201" s="17"/>
    </row>
    <row r="202" spans="5:11" x14ac:dyDescent="0.2">
      <c r="E202" s="10"/>
      <c r="F202" s="53"/>
      <c r="G202" s="9"/>
      <c r="J202" s="17"/>
      <c r="K202" s="17"/>
    </row>
    <row r="203" spans="5:11" x14ac:dyDescent="0.2">
      <c r="E203" s="10"/>
      <c r="F203" s="53"/>
      <c r="G203" s="9"/>
      <c r="J203" s="17"/>
      <c r="K203" s="17"/>
    </row>
    <row r="204" spans="5:11" x14ac:dyDescent="0.2">
      <c r="E204" s="10"/>
      <c r="F204" s="53"/>
      <c r="G204" s="9"/>
      <c r="J204" s="17"/>
      <c r="K204" s="17"/>
    </row>
    <row r="205" spans="5:11" x14ac:dyDescent="0.2">
      <c r="E205" s="10"/>
      <c r="F205" s="53"/>
      <c r="G205" s="9"/>
      <c r="J205" s="17"/>
      <c r="K205" s="17"/>
    </row>
    <row r="206" spans="5:11" x14ac:dyDescent="0.2">
      <c r="E206" s="10"/>
      <c r="F206" s="53"/>
      <c r="G206" s="9"/>
      <c r="J206" s="17"/>
      <c r="K206" s="17"/>
    </row>
    <row r="207" spans="5:11" x14ac:dyDescent="0.2">
      <c r="E207" s="10"/>
      <c r="F207" s="53"/>
      <c r="G207" s="9"/>
      <c r="J207" s="17"/>
      <c r="K207" s="17"/>
    </row>
    <row r="208" spans="5:11" x14ac:dyDescent="0.2">
      <c r="E208" s="10"/>
      <c r="F208" s="53"/>
      <c r="G208" s="9"/>
      <c r="J208" s="17"/>
      <c r="K208" s="17"/>
    </row>
    <row r="209" spans="5:11" x14ac:dyDescent="0.2">
      <c r="E209" s="10"/>
      <c r="F209" s="53"/>
      <c r="G209" s="9"/>
      <c r="J209" s="17"/>
      <c r="K209" s="17"/>
    </row>
    <row r="210" spans="5:11" x14ac:dyDescent="0.2">
      <c r="E210" s="10"/>
      <c r="F210" s="53"/>
      <c r="G210" s="9"/>
      <c r="J210" s="17"/>
      <c r="K210" s="17"/>
    </row>
    <row r="211" spans="5:11" x14ac:dyDescent="0.2">
      <c r="E211" s="10"/>
      <c r="F211" s="53"/>
      <c r="G211" s="9"/>
      <c r="J211" s="17"/>
      <c r="K211" s="17"/>
    </row>
    <row r="212" spans="5:11" x14ac:dyDescent="0.2">
      <c r="E212" s="10"/>
      <c r="F212" s="53"/>
      <c r="G212" s="9"/>
      <c r="J212" s="17"/>
      <c r="K212" s="17"/>
    </row>
    <row r="213" spans="5:11" x14ac:dyDescent="0.2">
      <c r="E213" s="10"/>
      <c r="F213" s="53"/>
      <c r="G213" s="9"/>
      <c r="J213" s="17"/>
      <c r="K213" s="17"/>
    </row>
    <row r="214" spans="5:11" x14ac:dyDescent="0.2">
      <c r="E214" s="10"/>
      <c r="F214" s="53"/>
      <c r="G214" s="9"/>
      <c r="J214" s="17"/>
      <c r="K214" s="17"/>
    </row>
    <row r="215" spans="5:11" x14ac:dyDescent="0.2">
      <c r="E215" s="10"/>
      <c r="F215" s="53"/>
      <c r="G215" s="9"/>
      <c r="J215" s="17"/>
      <c r="K215" s="17"/>
    </row>
    <row r="216" spans="5:11" x14ac:dyDescent="0.2">
      <c r="E216" s="10"/>
      <c r="F216" s="53"/>
      <c r="G216" s="9"/>
      <c r="J216" s="17"/>
      <c r="K216" s="17"/>
    </row>
    <row r="217" spans="5:11" x14ac:dyDescent="0.2">
      <c r="E217" s="10"/>
      <c r="F217" s="53"/>
      <c r="G217" s="9"/>
      <c r="J217" s="17"/>
      <c r="K217" s="17"/>
    </row>
    <row r="218" spans="5:11" x14ac:dyDescent="0.2">
      <c r="E218" s="10"/>
      <c r="F218" s="53"/>
      <c r="G218" s="9"/>
      <c r="J218" s="17"/>
      <c r="K218" s="17"/>
    </row>
    <row r="219" spans="5:11" x14ac:dyDescent="0.2">
      <c r="E219" s="10"/>
      <c r="F219" s="53"/>
      <c r="G219" s="9"/>
      <c r="J219" s="17"/>
      <c r="K219" s="17"/>
    </row>
    <row r="220" spans="5:11" x14ac:dyDescent="0.2">
      <c r="E220" s="10"/>
      <c r="F220" s="53"/>
      <c r="G220" s="9"/>
      <c r="J220" s="17"/>
      <c r="K220" s="17"/>
    </row>
    <row r="221" spans="5:11" x14ac:dyDescent="0.2">
      <c r="E221" s="10"/>
      <c r="F221" s="53"/>
      <c r="G221" s="9"/>
      <c r="J221" s="17"/>
      <c r="K221" s="17"/>
    </row>
    <row r="222" spans="5:11" x14ac:dyDescent="0.2">
      <c r="E222" s="10"/>
      <c r="F222" s="53"/>
      <c r="G222" s="9"/>
      <c r="J222" s="17"/>
      <c r="K222" s="17"/>
    </row>
    <row r="223" spans="5:11" x14ac:dyDescent="0.2">
      <c r="E223" s="10"/>
      <c r="F223" s="53"/>
      <c r="G223" s="9"/>
      <c r="J223" s="17"/>
      <c r="K223" s="17"/>
    </row>
    <row r="224" spans="5:11" x14ac:dyDescent="0.2">
      <c r="E224" s="10"/>
      <c r="F224" s="53"/>
      <c r="G224" s="9"/>
      <c r="J224" s="17"/>
      <c r="K224" s="17"/>
    </row>
    <row r="225" spans="5:11" x14ac:dyDescent="0.2">
      <c r="E225" s="10"/>
      <c r="F225" s="53"/>
      <c r="G225" s="9"/>
      <c r="J225" s="17"/>
      <c r="K225" s="17"/>
    </row>
    <row r="226" spans="5:11" x14ac:dyDescent="0.2">
      <c r="E226" s="10"/>
      <c r="F226" s="53"/>
      <c r="G226" s="9"/>
      <c r="J226" s="17"/>
      <c r="K226" s="17"/>
    </row>
    <row r="227" spans="5:11" x14ac:dyDescent="0.2">
      <c r="E227" s="10"/>
      <c r="F227" s="53"/>
      <c r="G227" s="9"/>
      <c r="J227" s="17"/>
      <c r="K227" s="17"/>
    </row>
    <row r="228" spans="5:11" x14ac:dyDescent="0.2">
      <c r="E228" s="10"/>
      <c r="F228" s="53"/>
      <c r="G228" s="9"/>
      <c r="J228" s="17"/>
      <c r="K228" s="17"/>
    </row>
    <row r="229" spans="5:11" x14ac:dyDescent="0.2">
      <c r="E229" s="10"/>
      <c r="F229" s="53"/>
      <c r="G229" s="9"/>
      <c r="J229" s="17"/>
      <c r="K229" s="17"/>
    </row>
    <row r="230" spans="5:11" x14ac:dyDescent="0.2">
      <c r="E230" s="10"/>
      <c r="F230" s="53"/>
      <c r="G230" s="9"/>
      <c r="J230" s="17"/>
      <c r="K230" s="17"/>
    </row>
    <row r="231" spans="5:11" x14ac:dyDescent="0.2">
      <c r="E231" s="10"/>
      <c r="F231" s="53"/>
      <c r="G231" s="9"/>
      <c r="J231" s="17"/>
      <c r="K231" s="17"/>
    </row>
    <row r="232" spans="5:11" x14ac:dyDescent="0.2">
      <c r="E232" s="10"/>
      <c r="F232" s="53"/>
      <c r="G232" s="9"/>
      <c r="J232" s="17"/>
      <c r="K232" s="17"/>
    </row>
    <row r="233" spans="5:11" x14ac:dyDescent="0.2">
      <c r="E233" s="10"/>
      <c r="F233" s="53"/>
      <c r="G233" s="9"/>
      <c r="J233" s="17"/>
      <c r="K233" s="17"/>
    </row>
    <row r="234" spans="5:11" x14ac:dyDescent="0.2">
      <c r="E234" s="10"/>
      <c r="F234" s="53"/>
      <c r="G234" s="9"/>
      <c r="J234" s="17"/>
      <c r="K234" s="17"/>
    </row>
    <row r="235" spans="5:11" x14ac:dyDescent="0.2">
      <c r="E235" s="10"/>
      <c r="F235" s="53"/>
      <c r="G235" s="9"/>
      <c r="J235" s="17"/>
      <c r="K235" s="17"/>
    </row>
    <row r="236" spans="5:11" x14ac:dyDescent="0.2">
      <c r="E236" s="10"/>
      <c r="F236" s="53"/>
      <c r="G236" s="9"/>
      <c r="J236" s="17"/>
      <c r="K236" s="17"/>
    </row>
    <row r="237" spans="5:11" x14ac:dyDescent="0.2">
      <c r="E237" s="10"/>
      <c r="F237" s="53"/>
      <c r="G237" s="9"/>
      <c r="J237" s="17"/>
      <c r="K237" s="17"/>
    </row>
    <row r="238" spans="5:11" x14ac:dyDescent="0.2">
      <c r="E238" s="10"/>
      <c r="F238" s="53"/>
      <c r="G238" s="9"/>
      <c r="J238" s="17"/>
      <c r="K238" s="17"/>
    </row>
    <row r="239" spans="5:11" x14ac:dyDescent="0.2">
      <c r="E239" s="10"/>
      <c r="F239" s="53"/>
      <c r="G239" s="9"/>
      <c r="J239" s="17"/>
      <c r="K239" s="17"/>
    </row>
    <row r="240" spans="5:11" x14ac:dyDescent="0.2">
      <c r="E240" s="10"/>
      <c r="F240" s="53"/>
      <c r="G240" s="9"/>
      <c r="J240" s="17"/>
      <c r="K240" s="17"/>
    </row>
    <row r="241" spans="5:11" x14ac:dyDescent="0.2">
      <c r="E241" s="10"/>
      <c r="F241" s="53"/>
      <c r="G241" s="9"/>
      <c r="J241" s="17"/>
      <c r="K241" s="17"/>
    </row>
    <row r="242" spans="5:11" x14ac:dyDescent="0.2">
      <c r="E242" s="10"/>
      <c r="F242" s="53"/>
      <c r="G242" s="9"/>
      <c r="J242" s="17"/>
      <c r="K242" s="17"/>
    </row>
    <row r="243" spans="5:11" x14ac:dyDescent="0.2">
      <c r="E243" s="10"/>
      <c r="F243" s="53"/>
      <c r="G243" s="9"/>
      <c r="J243" s="17"/>
      <c r="K243" s="17"/>
    </row>
    <row r="244" spans="5:11" x14ac:dyDescent="0.2">
      <c r="E244" s="10"/>
      <c r="F244" s="53"/>
      <c r="G244" s="9"/>
      <c r="J244" s="17"/>
      <c r="K244" s="17"/>
    </row>
    <row r="245" spans="5:11" x14ac:dyDescent="0.2">
      <c r="E245" s="10"/>
      <c r="F245" s="53"/>
      <c r="G245" s="9"/>
      <c r="J245" s="17"/>
      <c r="K245" s="17"/>
    </row>
    <row r="246" spans="5:11" x14ac:dyDescent="0.2">
      <c r="E246" s="10"/>
      <c r="F246" s="53"/>
      <c r="G246" s="9"/>
      <c r="J246" s="17"/>
      <c r="K246" s="17"/>
    </row>
    <row r="247" spans="5:11" x14ac:dyDescent="0.2">
      <c r="E247" s="10"/>
      <c r="F247" s="53"/>
      <c r="G247" s="9"/>
      <c r="J247" s="17"/>
      <c r="K247" s="17"/>
    </row>
    <row r="248" spans="5:11" x14ac:dyDescent="0.2">
      <c r="E248" s="10"/>
      <c r="F248" s="53"/>
      <c r="G248" s="9"/>
      <c r="J248" s="17"/>
      <c r="K248" s="17"/>
    </row>
    <row r="249" spans="5:11" x14ac:dyDescent="0.2">
      <c r="E249" s="10"/>
      <c r="F249" s="53"/>
      <c r="G249" s="9"/>
      <c r="J249" s="17"/>
      <c r="K249" s="17"/>
    </row>
    <row r="250" spans="5:11" x14ac:dyDescent="0.2">
      <c r="E250" s="10"/>
      <c r="F250" s="53"/>
      <c r="G250" s="9"/>
      <c r="J250" s="17"/>
      <c r="K250" s="17"/>
    </row>
    <row r="251" spans="5:11" x14ac:dyDescent="0.2">
      <c r="E251" s="10"/>
      <c r="F251" s="53"/>
      <c r="G251" s="9"/>
      <c r="J251" s="17"/>
      <c r="K251" s="17"/>
    </row>
    <row r="252" spans="5:11" x14ac:dyDescent="0.2">
      <c r="E252" s="10"/>
      <c r="F252" s="53"/>
      <c r="G252" s="9"/>
      <c r="J252" s="17"/>
      <c r="K252" s="17"/>
    </row>
    <row r="253" spans="5:11" x14ac:dyDescent="0.2">
      <c r="E253" s="10"/>
      <c r="F253" s="53"/>
      <c r="G253" s="9"/>
      <c r="J253" s="17"/>
      <c r="K253" s="17"/>
    </row>
    <row r="254" spans="5:11" x14ac:dyDescent="0.2">
      <c r="E254" s="10"/>
      <c r="F254" s="53"/>
      <c r="G254" s="9"/>
      <c r="J254" s="17"/>
      <c r="K254" s="17"/>
    </row>
    <row r="255" spans="5:11" x14ac:dyDescent="0.2">
      <c r="E255" s="10"/>
      <c r="F255" s="53"/>
      <c r="G255" s="9"/>
      <c r="J255" s="17"/>
      <c r="K255" s="17"/>
    </row>
    <row r="256" spans="5:11" x14ac:dyDescent="0.2">
      <c r="E256" s="10"/>
      <c r="F256" s="53"/>
      <c r="G256" s="9"/>
      <c r="J256" s="17"/>
      <c r="K256" s="17"/>
    </row>
    <row r="257" spans="5:11" x14ac:dyDescent="0.2">
      <c r="E257" s="10"/>
      <c r="F257" s="53"/>
      <c r="G257" s="9"/>
      <c r="J257" s="17"/>
      <c r="K257" s="17"/>
    </row>
    <row r="258" spans="5:11" x14ac:dyDescent="0.2">
      <c r="E258" s="10"/>
      <c r="F258" s="53"/>
      <c r="G258" s="9"/>
      <c r="J258" s="17"/>
      <c r="K258" s="17"/>
    </row>
    <row r="259" spans="5:11" x14ac:dyDescent="0.2">
      <c r="E259" s="10"/>
      <c r="F259" s="53"/>
      <c r="G259" s="9"/>
      <c r="J259" s="17"/>
      <c r="K259" s="17"/>
    </row>
    <row r="260" spans="5:11" x14ac:dyDescent="0.2">
      <c r="E260" s="10"/>
      <c r="F260" s="53"/>
      <c r="G260" s="9"/>
      <c r="J260" s="17"/>
      <c r="K260" s="17"/>
    </row>
    <row r="261" spans="5:11" x14ac:dyDescent="0.2">
      <c r="E261" s="10"/>
      <c r="F261" s="53"/>
      <c r="G261" s="9"/>
      <c r="J261" s="17"/>
      <c r="K261" s="17"/>
    </row>
    <row r="262" spans="5:11" x14ac:dyDescent="0.2">
      <c r="E262" s="10"/>
      <c r="F262" s="53"/>
      <c r="G262" s="9"/>
      <c r="J262" s="17"/>
      <c r="K262" s="17"/>
    </row>
    <row r="263" spans="5:11" x14ac:dyDescent="0.2">
      <c r="E263" s="10"/>
      <c r="F263" s="53"/>
      <c r="G263" s="9"/>
      <c r="J263" s="17"/>
      <c r="K263" s="17"/>
    </row>
    <row r="264" spans="5:11" x14ac:dyDescent="0.2">
      <c r="E264" s="10"/>
      <c r="F264" s="53"/>
      <c r="G264" s="9"/>
      <c r="J264" s="17"/>
      <c r="K264" s="17"/>
    </row>
    <row r="265" spans="5:11" x14ac:dyDescent="0.2">
      <c r="E265" s="10"/>
      <c r="F265" s="53"/>
      <c r="G265" s="9"/>
      <c r="J265" s="17"/>
      <c r="K265" s="17"/>
    </row>
    <row r="266" spans="5:11" x14ac:dyDescent="0.2">
      <c r="E266" s="10"/>
      <c r="F266" s="53"/>
      <c r="G266" s="9"/>
      <c r="J266" s="17"/>
      <c r="K266" s="17"/>
    </row>
    <row r="267" spans="5:11" x14ac:dyDescent="0.2">
      <c r="E267" s="10"/>
      <c r="F267" s="53"/>
      <c r="G267" s="9"/>
      <c r="J267" s="17"/>
      <c r="K267" s="17"/>
    </row>
    <row r="268" spans="5:11" x14ac:dyDescent="0.2">
      <c r="E268" s="10"/>
      <c r="F268" s="53"/>
      <c r="G268" s="9"/>
      <c r="J268" s="17"/>
      <c r="K268" s="17"/>
    </row>
    <row r="269" spans="5:11" x14ac:dyDescent="0.2">
      <c r="E269" s="10"/>
      <c r="F269" s="53"/>
      <c r="G269" s="9"/>
      <c r="J269" s="17"/>
      <c r="K269" s="17"/>
    </row>
    <row r="270" spans="5:11" x14ac:dyDescent="0.2">
      <c r="E270" s="10"/>
      <c r="F270" s="53"/>
      <c r="G270" s="9"/>
      <c r="J270" s="17"/>
      <c r="K270" s="17"/>
    </row>
    <row r="271" spans="5:11" x14ac:dyDescent="0.2">
      <c r="E271" s="10"/>
      <c r="F271" s="53"/>
      <c r="G271" s="9"/>
      <c r="J271" s="17"/>
      <c r="K271" s="17"/>
    </row>
    <row r="272" spans="5:11" x14ac:dyDescent="0.2">
      <c r="E272" s="10"/>
      <c r="F272" s="53"/>
      <c r="G272" s="9"/>
      <c r="J272" s="17"/>
      <c r="K272" s="17"/>
    </row>
    <row r="273" spans="5:11" x14ac:dyDescent="0.2">
      <c r="E273" s="10"/>
      <c r="F273" s="53"/>
      <c r="G273" s="9"/>
      <c r="J273" s="17"/>
      <c r="K273" s="17"/>
    </row>
    <row r="274" spans="5:11" x14ac:dyDescent="0.2">
      <c r="E274" s="10"/>
      <c r="F274" s="53"/>
      <c r="G274" s="9"/>
      <c r="J274" s="17"/>
      <c r="K274" s="17"/>
    </row>
    <row r="275" spans="5:11" x14ac:dyDescent="0.2">
      <c r="E275" s="10"/>
      <c r="F275" s="53"/>
      <c r="G275" s="9"/>
      <c r="J275" s="17"/>
      <c r="K275" s="17"/>
    </row>
    <row r="276" spans="5:11" x14ac:dyDescent="0.2">
      <c r="E276" s="10"/>
      <c r="F276" s="53"/>
      <c r="G276" s="9"/>
      <c r="J276" s="17"/>
      <c r="K276" s="17"/>
    </row>
    <row r="277" spans="5:11" x14ac:dyDescent="0.2">
      <c r="E277" s="10"/>
      <c r="F277" s="53"/>
      <c r="G277" s="9"/>
      <c r="J277" s="17"/>
      <c r="K277" s="17"/>
    </row>
    <row r="278" spans="5:11" x14ac:dyDescent="0.2">
      <c r="E278" s="10"/>
      <c r="F278" s="53"/>
      <c r="G278" s="9"/>
      <c r="J278" s="17"/>
      <c r="K278" s="17"/>
    </row>
    <row r="279" spans="5:11" x14ac:dyDescent="0.2">
      <c r="E279" s="10"/>
      <c r="F279" s="53"/>
      <c r="G279" s="9"/>
      <c r="J279" s="17"/>
      <c r="K279" s="17"/>
    </row>
    <row r="280" spans="5:11" x14ac:dyDescent="0.2">
      <c r="E280" s="10"/>
      <c r="F280" s="53"/>
      <c r="G280" s="9"/>
      <c r="J280" s="17"/>
      <c r="K280" s="17"/>
    </row>
    <row r="281" spans="5:11" x14ac:dyDescent="0.2">
      <c r="E281" s="10"/>
      <c r="F281" s="53"/>
      <c r="G281" s="9"/>
      <c r="J281" s="17"/>
      <c r="K281" s="17"/>
    </row>
    <row r="282" spans="5:11" x14ac:dyDescent="0.2">
      <c r="E282" s="10"/>
      <c r="F282" s="53"/>
      <c r="G282" s="9"/>
      <c r="J282" s="17"/>
      <c r="K282" s="17"/>
    </row>
    <row r="283" spans="5:11" x14ac:dyDescent="0.2">
      <c r="E283" s="10"/>
      <c r="F283" s="53"/>
      <c r="G283" s="9"/>
      <c r="J283" s="17"/>
      <c r="K283" s="17"/>
    </row>
    <row r="284" spans="5:11" x14ac:dyDescent="0.2">
      <c r="E284" s="10"/>
      <c r="F284" s="53"/>
      <c r="G284" s="9"/>
      <c r="J284" s="17"/>
      <c r="K284" s="17"/>
    </row>
    <row r="285" spans="5:11" x14ac:dyDescent="0.2">
      <c r="E285" s="10"/>
      <c r="F285" s="53"/>
      <c r="G285" s="9"/>
      <c r="J285" s="17"/>
      <c r="K285" s="17"/>
    </row>
    <row r="286" spans="5:11" x14ac:dyDescent="0.2">
      <c r="E286" s="10"/>
      <c r="F286" s="53"/>
      <c r="G286" s="9"/>
      <c r="J286" s="17"/>
      <c r="K286" s="17"/>
    </row>
    <row r="287" spans="5:11" x14ac:dyDescent="0.2">
      <c r="E287" s="10"/>
      <c r="F287" s="53"/>
      <c r="G287" s="9"/>
      <c r="J287" s="17"/>
      <c r="K287" s="17"/>
    </row>
    <row r="288" spans="5:11" x14ac:dyDescent="0.2">
      <c r="E288" s="10"/>
      <c r="F288" s="53"/>
      <c r="G288" s="9"/>
      <c r="J288" s="17"/>
      <c r="K288" s="17"/>
    </row>
    <row r="289" spans="5:11" x14ac:dyDescent="0.2">
      <c r="E289" s="10"/>
      <c r="F289" s="53"/>
      <c r="G289" s="9"/>
      <c r="J289" s="17"/>
      <c r="K289" s="17"/>
    </row>
    <row r="290" spans="5:11" x14ac:dyDescent="0.2">
      <c r="E290" s="10"/>
      <c r="F290" s="53"/>
      <c r="G290" s="9"/>
      <c r="J290" s="17"/>
      <c r="K290" s="17"/>
    </row>
    <row r="291" spans="5:11" x14ac:dyDescent="0.2">
      <c r="E291" s="10"/>
      <c r="F291" s="53"/>
      <c r="G291" s="9"/>
      <c r="J291" s="17"/>
      <c r="K291" s="17"/>
    </row>
    <row r="292" spans="5:11" x14ac:dyDescent="0.2">
      <c r="E292" s="10"/>
      <c r="F292" s="53"/>
      <c r="G292" s="9"/>
      <c r="J292" s="17"/>
      <c r="K292" s="17"/>
    </row>
    <row r="293" spans="5:11" x14ac:dyDescent="0.2">
      <c r="E293" s="10"/>
      <c r="F293" s="53"/>
      <c r="G293" s="9"/>
      <c r="J293" s="17"/>
      <c r="K293" s="17"/>
    </row>
    <row r="294" spans="5:11" x14ac:dyDescent="0.2">
      <c r="E294" s="10"/>
      <c r="F294" s="53"/>
      <c r="G294" s="9"/>
      <c r="J294" s="17"/>
      <c r="K294" s="17"/>
    </row>
    <row r="295" spans="5:11" x14ac:dyDescent="0.2">
      <c r="E295" s="10"/>
      <c r="F295" s="53"/>
      <c r="G295" s="9"/>
      <c r="J295" s="17"/>
      <c r="K295" s="17"/>
    </row>
    <row r="296" spans="5:11" x14ac:dyDescent="0.2">
      <c r="E296" s="10"/>
      <c r="F296" s="53"/>
      <c r="G296" s="9"/>
      <c r="J296" s="17"/>
      <c r="K296" s="17"/>
    </row>
    <row r="297" spans="5:11" x14ac:dyDescent="0.2">
      <c r="E297" s="10"/>
      <c r="F297" s="53"/>
      <c r="G297" s="9"/>
      <c r="J297" s="17"/>
      <c r="K297" s="17"/>
    </row>
    <row r="298" spans="5:11" x14ac:dyDescent="0.2">
      <c r="E298" s="10"/>
      <c r="F298" s="53"/>
      <c r="G298" s="9"/>
      <c r="J298" s="17"/>
      <c r="K298" s="17"/>
    </row>
    <row r="299" spans="5:11" x14ac:dyDescent="0.2">
      <c r="E299" s="10"/>
      <c r="F299" s="53"/>
      <c r="G299" s="9"/>
      <c r="J299" s="17"/>
      <c r="K299" s="17"/>
    </row>
    <row r="300" spans="5:11" x14ac:dyDescent="0.2">
      <c r="E300" s="10"/>
      <c r="F300" s="53"/>
      <c r="G300" s="9"/>
      <c r="J300" s="17"/>
      <c r="K300" s="17"/>
    </row>
    <row r="301" spans="5:11" x14ac:dyDescent="0.2">
      <c r="E301" s="10"/>
      <c r="F301" s="53"/>
      <c r="G301" s="9"/>
      <c r="J301" s="17"/>
      <c r="K301" s="17"/>
    </row>
    <row r="302" spans="5:11" x14ac:dyDescent="0.2">
      <c r="E302" s="10"/>
      <c r="F302" s="53"/>
      <c r="G302" s="9"/>
      <c r="J302" s="17"/>
      <c r="K302" s="17"/>
    </row>
    <row r="303" spans="5:11" x14ac:dyDescent="0.2">
      <c r="E303" s="10"/>
      <c r="F303" s="53"/>
      <c r="G303" s="9"/>
      <c r="J303" s="17"/>
      <c r="K303" s="17"/>
    </row>
    <row r="304" spans="5:11" x14ac:dyDescent="0.2">
      <c r="E304" s="10"/>
      <c r="F304" s="53"/>
      <c r="G304" s="9"/>
      <c r="J304" s="17"/>
      <c r="K304" s="17"/>
    </row>
    <row r="305" spans="5:11" x14ac:dyDescent="0.2">
      <c r="E305" s="10"/>
      <c r="F305" s="53"/>
      <c r="G305" s="9"/>
      <c r="J305" s="17"/>
      <c r="K305" s="17"/>
    </row>
    <row r="306" spans="5:11" x14ac:dyDescent="0.2">
      <c r="E306" s="10"/>
      <c r="F306" s="53"/>
      <c r="G306" s="9"/>
      <c r="J306" s="17"/>
      <c r="K306" s="17"/>
    </row>
    <row r="307" spans="5:11" x14ac:dyDescent="0.2">
      <c r="E307" s="10"/>
      <c r="F307" s="53"/>
      <c r="G307" s="9"/>
      <c r="J307" s="17"/>
      <c r="K307" s="17"/>
    </row>
    <row r="308" spans="5:11" x14ac:dyDescent="0.2">
      <c r="E308" s="10"/>
      <c r="F308" s="53"/>
      <c r="G308" s="9"/>
      <c r="J308" s="17"/>
      <c r="K308" s="17"/>
    </row>
    <row r="309" spans="5:11" x14ac:dyDescent="0.2">
      <c r="E309" s="10"/>
      <c r="F309" s="53"/>
      <c r="G309" s="9"/>
      <c r="J309" s="17"/>
      <c r="K309" s="17"/>
    </row>
    <row r="310" spans="5:11" x14ac:dyDescent="0.2">
      <c r="E310" s="10"/>
      <c r="F310" s="53"/>
      <c r="G310" s="9"/>
      <c r="J310" s="17"/>
      <c r="K310" s="17"/>
    </row>
    <row r="311" spans="5:11" x14ac:dyDescent="0.2">
      <c r="E311" s="10"/>
      <c r="F311" s="53"/>
      <c r="G311" s="9"/>
      <c r="J311" s="17"/>
      <c r="K311" s="17"/>
    </row>
    <row r="312" spans="5:11" x14ac:dyDescent="0.2">
      <c r="E312" s="10"/>
      <c r="F312" s="53"/>
      <c r="G312" s="9"/>
      <c r="J312" s="17"/>
      <c r="K312" s="17"/>
    </row>
    <row r="313" spans="5:11" x14ac:dyDescent="0.2">
      <c r="E313" s="10"/>
      <c r="F313" s="53"/>
      <c r="G313" s="9"/>
      <c r="J313" s="17"/>
      <c r="K313" s="17"/>
    </row>
    <row r="314" spans="5:11" x14ac:dyDescent="0.2">
      <c r="E314" s="10"/>
      <c r="F314" s="53"/>
      <c r="G314" s="9"/>
      <c r="J314" s="17"/>
      <c r="K314" s="17"/>
    </row>
    <row r="315" spans="5:11" x14ac:dyDescent="0.2">
      <c r="E315" s="10"/>
      <c r="F315" s="53"/>
      <c r="G315" s="9"/>
      <c r="J315" s="17"/>
      <c r="K315" s="17"/>
    </row>
    <row r="316" spans="5:11" x14ac:dyDescent="0.2">
      <c r="E316" s="10"/>
      <c r="F316" s="53"/>
      <c r="G316" s="9"/>
      <c r="J316" s="17"/>
      <c r="K316" s="17"/>
    </row>
    <row r="317" spans="5:11" x14ac:dyDescent="0.2">
      <c r="E317" s="10"/>
      <c r="F317" s="53"/>
      <c r="G317" s="9"/>
      <c r="J317" s="17"/>
      <c r="K317" s="17"/>
    </row>
    <row r="318" spans="5:11" x14ac:dyDescent="0.2">
      <c r="E318" s="10"/>
      <c r="F318" s="53"/>
      <c r="G318" s="9"/>
      <c r="J318" s="17"/>
      <c r="K318" s="17"/>
    </row>
    <row r="319" spans="5:11" x14ac:dyDescent="0.2">
      <c r="E319" s="10"/>
      <c r="F319" s="53"/>
      <c r="G319" s="9"/>
      <c r="J319" s="17"/>
      <c r="K319" s="17"/>
    </row>
    <row r="320" spans="5:11" x14ac:dyDescent="0.2">
      <c r="E320" s="10"/>
      <c r="F320" s="53"/>
      <c r="G320" s="9"/>
      <c r="J320" s="17"/>
      <c r="K320" s="17"/>
    </row>
    <row r="321" spans="5:11" x14ac:dyDescent="0.2">
      <c r="E321" s="10"/>
      <c r="F321" s="53"/>
      <c r="G321" s="9"/>
      <c r="J321" s="17"/>
      <c r="K321" s="17"/>
    </row>
    <row r="322" spans="5:11" x14ac:dyDescent="0.2">
      <c r="E322" s="10"/>
      <c r="F322" s="53"/>
      <c r="G322" s="9"/>
      <c r="J322" s="17"/>
      <c r="K322" s="17"/>
    </row>
    <row r="323" spans="5:11" x14ac:dyDescent="0.2">
      <c r="E323" s="10"/>
      <c r="F323" s="53"/>
      <c r="G323" s="9"/>
      <c r="J323" s="17"/>
      <c r="K323" s="17"/>
    </row>
    <row r="324" spans="5:11" x14ac:dyDescent="0.2">
      <c r="E324" s="10"/>
      <c r="F324" s="53"/>
      <c r="G324" s="9"/>
      <c r="J324" s="17"/>
      <c r="K324" s="17"/>
    </row>
    <row r="325" spans="5:11" x14ac:dyDescent="0.2">
      <c r="E325" s="10"/>
      <c r="F325" s="53"/>
      <c r="G325" s="9"/>
      <c r="J325" s="17"/>
      <c r="K325" s="17"/>
    </row>
    <row r="326" spans="5:11" x14ac:dyDescent="0.2">
      <c r="E326" s="10"/>
      <c r="F326" s="53"/>
      <c r="G326" s="9"/>
      <c r="J326" s="17"/>
      <c r="K326" s="17"/>
    </row>
    <row r="327" spans="5:11" x14ac:dyDescent="0.2">
      <c r="E327" s="10"/>
      <c r="F327" s="53"/>
      <c r="G327" s="9"/>
      <c r="J327" s="17"/>
      <c r="K327" s="17"/>
    </row>
    <row r="328" spans="5:11" x14ac:dyDescent="0.2">
      <c r="E328" s="10"/>
      <c r="F328" s="53"/>
      <c r="G328" s="9"/>
      <c r="J328" s="17"/>
      <c r="K328" s="17"/>
    </row>
    <row r="329" spans="5:11" x14ac:dyDescent="0.2">
      <c r="E329" s="10"/>
      <c r="F329" s="53"/>
      <c r="G329" s="9"/>
      <c r="J329" s="17"/>
      <c r="K329" s="17"/>
    </row>
    <row r="330" spans="5:11" x14ac:dyDescent="0.2">
      <c r="E330" s="10"/>
      <c r="F330" s="53"/>
      <c r="G330" s="9"/>
      <c r="J330" s="17"/>
      <c r="K330" s="17"/>
    </row>
    <row r="331" spans="5:11" x14ac:dyDescent="0.2">
      <c r="E331" s="10"/>
      <c r="F331" s="53"/>
      <c r="G331" s="9"/>
      <c r="J331" s="17"/>
      <c r="K331" s="17"/>
    </row>
    <row r="332" spans="5:11" x14ac:dyDescent="0.2">
      <c r="E332" s="10"/>
      <c r="F332" s="53"/>
      <c r="G332" s="9"/>
      <c r="J332" s="17"/>
      <c r="K332" s="17"/>
    </row>
    <row r="333" spans="5:11" x14ac:dyDescent="0.2">
      <c r="E333" s="10"/>
      <c r="F333" s="53"/>
      <c r="G333" s="9"/>
      <c r="J333" s="17"/>
      <c r="K333" s="17"/>
    </row>
    <row r="334" spans="5:11" x14ac:dyDescent="0.2">
      <c r="E334" s="10"/>
      <c r="F334" s="53"/>
      <c r="G334" s="9"/>
      <c r="J334" s="17"/>
      <c r="K334" s="17"/>
    </row>
    <row r="335" spans="5:11" x14ac:dyDescent="0.2">
      <c r="E335" s="10"/>
      <c r="F335" s="53"/>
      <c r="G335" s="9"/>
      <c r="J335" s="17"/>
      <c r="K335" s="17"/>
    </row>
    <row r="336" spans="5:11" x14ac:dyDescent="0.2">
      <c r="E336" s="10"/>
      <c r="F336" s="53"/>
      <c r="G336" s="9"/>
      <c r="J336" s="17"/>
      <c r="K336" s="17"/>
    </row>
    <row r="337" spans="5:11" x14ac:dyDescent="0.2">
      <c r="E337" s="10"/>
      <c r="F337" s="53"/>
      <c r="G337" s="9"/>
      <c r="J337" s="17"/>
      <c r="K337" s="17"/>
    </row>
    <row r="338" spans="5:11" x14ac:dyDescent="0.2">
      <c r="E338" s="10"/>
      <c r="F338" s="53"/>
      <c r="G338" s="9"/>
      <c r="J338" s="17"/>
      <c r="K338" s="17"/>
    </row>
    <row r="339" spans="5:11" x14ac:dyDescent="0.2">
      <c r="E339" s="10"/>
      <c r="F339" s="53"/>
      <c r="G339" s="9"/>
      <c r="J339" s="17"/>
      <c r="K339" s="17"/>
    </row>
    <row r="340" spans="5:11" x14ac:dyDescent="0.2">
      <c r="E340" s="10"/>
      <c r="F340" s="53"/>
      <c r="G340" s="9"/>
      <c r="J340" s="17"/>
      <c r="K340" s="17"/>
    </row>
    <row r="341" spans="5:11" x14ac:dyDescent="0.2">
      <c r="E341" s="10"/>
      <c r="F341" s="53"/>
      <c r="G341" s="9"/>
      <c r="J341" s="17"/>
      <c r="K341" s="17"/>
    </row>
    <row r="342" spans="5:11" x14ac:dyDescent="0.2">
      <c r="E342" s="10"/>
      <c r="F342" s="53"/>
      <c r="G342" s="9"/>
      <c r="J342" s="17"/>
      <c r="K342" s="17"/>
    </row>
    <row r="343" spans="5:11" x14ac:dyDescent="0.2">
      <c r="E343" s="10"/>
      <c r="F343" s="53"/>
      <c r="G343" s="9"/>
      <c r="J343" s="17"/>
      <c r="K343" s="17"/>
    </row>
    <row r="344" spans="5:11" x14ac:dyDescent="0.2">
      <c r="E344" s="10"/>
      <c r="F344" s="53"/>
      <c r="G344" s="9"/>
      <c r="J344" s="17"/>
      <c r="K344" s="17"/>
    </row>
    <row r="345" spans="5:11" x14ac:dyDescent="0.2">
      <c r="E345" s="10"/>
      <c r="F345" s="53"/>
      <c r="G345" s="9"/>
      <c r="J345" s="17"/>
      <c r="K345" s="17"/>
    </row>
    <row r="346" spans="5:11" x14ac:dyDescent="0.2">
      <c r="E346" s="10"/>
      <c r="F346" s="53"/>
      <c r="G346" s="9"/>
      <c r="J346" s="17"/>
      <c r="K346" s="17"/>
    </row>
    <row r="347" spans="5:11" x14ac:dyDescent="0.2">
      <c r="E347" s="10"/>
      <c r="F347" s="53"/>
      <c r="G347" s="9"/>
      <c r="J347" s="17"/>
      <c r="K347" s="17"/>
    </row>
    <row r="348" spans="5:11" x14ac:dyDescent="0.2">
      <c r="E348" s="10"/>
      <c r="F348" s="53"/>
      <c r="G348" s="9"/>
      <c r="J348" s="17"/>
      <c r="K348" s="17"/>
    </row>
    <row r="349" spans="5:11" x14ac:dyDescent="0.2">
      <c r="E349" s="10"/>
      <c r="F349" s="53"/>
      <c r="G349" s="9"/>
      <c r="J349" s="17"/>
      <c r="K349" s="17"/>
    </row>
    <row r="350" spans="5:11" x14ac:dyDescent="0.2">
      <c r="E350" s="10"/>
      <c r="F350" s="53"/>
      <c r="G350" s="9"/>
      <c r="J350" s="17"/>
      <c r="K350" s="17"/>
    </row>
    <row r="351" spans="5:11" x14ac:dyDescent="0.2">
      <c r="E351" s="10"/>
      <c r="F351" s="53"/>
      <c r="G351" s="9"/>
      <c r="J351" s="17"/>
      <c r="K351" s="17"/>
    </row>
    <row r="352" spans="5:11" x14ac:dyDescent="0.2">
      <c r="E352" s="10"/>
      <c r="F352" s="53"/>
      <c r="G352" s="9"/>
      <c r="J352" s="17"/>
      <c r="K352" s="17"/>
    </row>
    <row r="353" spans="5:11" x14ac:dyDescent="0.2">
      <c r="E353" s="10"/>
      <c r="F353" s="53"/>
      <c r="G353" s="9"/>
      <c r="J353" s="17"/>
      <c r="K353" s="17"/>
    </row>
    <row r="354" spans="5:11" x14ac:dyDescent="0.2">
      <c r="E354" s="10"/>
      <c r="F354" s="53"/>
      <c r="G354" s="9"/>
      <c r="J354" s="17"/>
      <c r="K354" s="17"/>
    </row>
    <row r="355" spans="5:11" x14ac:dyDescent="0.2">
      <c r="E355" s="10"/>
      <c r="F355" s="53"/>
      <c r="G355" s="9"/>
      <c r="J355" s="17"/>
      <c r="K355" s="17"/>
    </row>
    <row r="356" spans="5:11" x14ac:dyDescent="0.2">
      <c r="E356" s="10"/>
      <c r="F356" s="53"/>
      <c r="G356" s="9"/>
      <c r="J356" s="17"/>
      <c r="K356" s="17"/>
    </row>
    <row r="357" spans="5:11" x14ac:dyDescent="0.2">
      <c r="E357" s="10"/>
      <c r="F357" s="53"/>
      <c r="G357" s="9"/>
      <c r="J357" s="17"/>
      <c r="K357" s="17"/>
    </row>
    <row r="358" spans="5:11" x14ac:dyDescent="0.2">
      <c r="E358" s="10"/>
      <c r="F358" s="53"/>
      <c r="G358" s="9"/>
      <c r="J358" s="17"/>
      <c r="K358" s="17"/>
    </row>
    <row r="359" spans="5:11" x14ac:dyDescent="0.2">
      <c r="E359" s="10"/>
      <c r="F359" s="53"/>
      <c r="G359" s="9"/>
      <c r="J359" s="17"/>
      <c r="K359" s="17"/>
    </row>
    <row r="360" spans="5:11" x14ac:dyDescent="0.2">
      <c r="E360" s="10"/>
      <c r="F360" s="53"/>
      <c r="G360" s="9"/>
      <c r="J360" s="17"/>
      <c r="K360" s="17"/>
    </row>
    <row r="361" spans="5:11" x14ac:dyDescent="0.2">
      <c r="E361" s="10"/>
      <c r="F361" s="53"/>
      <c r="G361" s="9"/>
      <c r="J361" s="17"/>
      <c r="K361" s="17"/>
    </row>
    <row r="362" spans="5:11" x14ac:dyDescent="0.2">
      <c r="E362" s="10"/>
      <c r="F362" s="53"/>
      <c r="G362" s="9"/>
      <c r="J362" s="17"/>
      <c r="K362" s="17"/>
    </row>
    <row r="363" spans="5:11" x14ac:dyDescent="0.2">
      <c r="E363" s="10"/>
      <c r="F363" s="53"/>
      <c r="G363" s="9"/>
      <c r="J363" s="17"/>
      <c r="K363" s="17"/>
    </row>
    <row r="364" spans="5:11" x14ac:dyDescent="0.2">
      <c r="E364" s="10"/>
      <c r="F364" s="53"/>
      <c r="G364" s="9"/>
      <c r="J364" s="17"/>
      <c r="K364" s="17"/>
    </row>
    <row r="365" spans="5:11" x14ac:dyDescent="0.2">
      <c r="E365" s="10"/>
      <c r="F365" s="53"/>
      <c r="G365" s="9"/>
      <c r="J365" s="17"/>
      <c r="K365" s="17"/>
    </row>
    <row r="366" spans="5:11" x14ac:dyDescent="0.2">
      <c r="E366" s="10"/>
      <c r="F366" s="53"/>
      <c r="G366" s="9"/>
      <c r="J366" s="17"/>
      <c r="K366" s="17"/>
    </row>
    <row r="367" spans="5:11" x14ac:dyDescent="0.2">
      <c r="E367" s="10"/>
      <c r="F367" s="53"/>
      <c r="G367" s="9"/>
      <c r="J367" s="17"/>
      <c r="K367" s="17"/>
    </row>
    <row r="368" spans="5:11" x14ac:dyDescent="0.2">
      <c r="E368" s="10"/>
      <c r="F368" s="53"/>
      <c r="G368" s="9"/>
      <c r="J368" s="17"/>
      <c r="K368" s="17"/>
    </row>
    <row r="369" spans="5:11" x14ac:dyDescent="0.2">
      <c r="E369" s="10"/>
      <c r="F369" s="53"/>
      <c r="G369" s="9"/>
      <c r="J369" s="17"/>
      <c r="K369" s="17"/>
    </row>
    <row r="370" spans="5:11" x14ac:dyDescent="0.2">
      <c r="E370" s="10"/>
      <c r="F370" s="53"/>
      <c r="G370" s="9"/>
      <c r="J370" s="17"/>
      <c r="K370" s="17"/>
    </row>
    <row r="371" spans="5:11" x14ac:dyDescent="0.2">
      <c r="E371" s="10"/>
      <c r="F371" s="53"/>
      <c r="G371" s="9"/>
      <c r="J371" s="17"/>
      <c r="K371" s="17"/>
    </row>
    <row r="372" spans="5:11" x14ac:dyDescent="0.2">
      <c r="E372" s="10"/>
      <c r="F372" s="53"/>
      <c r="G372" s="9"/>
      <c r="J372" s="17"/>
      <c r="K372" s="17"/>
    </row>
    <row r="373" spans="5:11" x14ac:dyDescent="0.2">
      <c r="E373" s="10"/>
      <c r="F373" s="53"/>
      <c r="G373" s="9"/>
      <c r="J373" s="17"/>
      <c r="K373" s="17"/>
    </row>
    <row r="374" spans="5:11" x14ac:dyDescent="0.2">
      <c r="E374" s="10"/>
      <c r="F374" s="53"/>
      <c r="G374" s="9"/>
      <c r="J374" s="17"/>
      <c r="K374" s="17"/>
    </row>
    <row r="375" spans="5:11" x14ac:dyDescent="0.2">
      <c r="E375" s="10"/>
      <c r="F375" s="53"/>
      <c r="G375" s="9"/>
      <c r="J375" s="17"/>
      <c r="K375" s="17"/>
    </row>
    <row r="376" spans="5:11" x14ac:dyDescent="0.2">
      <c r="E376" s="10"/>
      <c r="F376" s="53"/>
      <c r="G376" s="9"/>
      <c r="J376" s="17"/>
      <c r="K376" s="17"/>
    </row>
    <row r="377" spans="5:11" x14ac:dyDescent="0.2">
      <c r="E377" s="10"/>
      <c r="F377" s="53"/>
      <c r="G377" s="9"/>
      <c r="J377" s="17"/>
      <c r="K377" s="17"/>
    </row>
    <row r="378" spans="5:11" x14ac:dyDescent="0.2">
      <c r="E378" s="10"/>
      <c r="F378" s="53"/>
      <c r="G378" s="9"/>
      <c r="J378" s="17"/>
      <c r="K378" s="17"/>
    </row>
    <row r="379" spans="5:11" x14ac:dyDescent="0.2">
      <c r="E379" s="10"/>
      <c r="F379" s="53"/>
      <c r="G379" s="9"/>
      <c r="J379" s="17"/>
      <c r="K379" s="17"/>
    </row>
    <row r="380" spans="5:11" x14ac:dyDescent="0.2">
      <c r="E380" s="10"/>
      <c r="F380" s="53"/>
      <c r="G380" s="9"/>
      <c r="J380" s="17"/>
      <c r="K380" s="17"/>
    </row>
    <row r="381" spans="5:11" x14ac:dyDescent="0.2">
      <c r="E381" s="10"/>
      <c r="F381" s="53"/>
      <c r="G381" s="9"/>
      <c r="J381" s="17"/>
      <c r="K381" s="17"/>
    </row>
    <row r="382" spans="5:11" x14ac:dyDescent="0.2">
      <c r="E382" s="10"/>
      <c r="F382" s="53"/>
      <c r="G382" s="9"/>
      <c r="J382" s="17"/>
      <c r="K382" s="17"/>
    </row>
    <row r="383" spans="5:11" x14ac:dyDescent="0.2">
      <c r="E383" s="10"/>
      <c r="F383" s="53"/>
      <c r="G383" s="9"/>
      <c r="J383" s="17"/>
      <c r="K383" s="17"/>
    </row>
    <row r="384" spans="5:11" x14ac:dyDescent="0.2">
      <c r="E384" s="10"/>
      <c r="F384" s="53"/>
      <c r="G384" s="9"/>
      <c r="J384" s="17"/>
      <c r="K384" s="17"/>
    </row>
    <row r="385" spans="5:11" x14ac:dyDescent="0.2">
      <c r="E385" s="10"/>
      <c r="F385" s="53"/>
      <c r="G385" s="9"/>
      <c r="J385" s="17"/>
      <c r="K385" s="17"/>
    </row>
    <row r="386" spans="5:11" x14ac:dyDescent="0.2">
      <c r="E386" s="10"/>
      <c r="F386" s="53"/>
      <c r="G386" s="9"/>
      <c r="J386" s="17"/>
      <c r="K386" s="17"/>
    </row>
    <row r="387" spans="5:11" x14ac:dyDescent="0.2">
      <c r="E387" s="10"/>
      <c r="F387" s="53"/>
      <c r="G387" s="9"/>
      <c r="J387" s="17"/>
      <c r="K387" s="17"/>
    </row>
    <row r="388" spans="5:11" x14ac:dyDescent="0.2">
      <c r="E388" s="10"/>
      <c r="F388" s="53"/>
      <c r="G388" s="9"/>
      <c r="J388" s="17"/>
      <c r="K388" s="17"/>
    </row>
    <row r="389" spans="5:11" x14ac:dyDescent="0.2">
      <c r="E389" s="10"/>
      <c r="F389" s="53"/>
      <c r="G389" s="9"/>
      <c r="J389" s="17"/>
      <c r="K389" s="17"/>
    </row>
    <row r="390" spans="5:11" x14ac:dyDescent="0.2">
      <c r="E390" s="10"/>
      <c r="F390" s="53"/>
      <c r="G390" s="9"/>
      <c r="J390" s="17"/>
      <c r="K390" s="17"/>
    </row>
    <row r="391" spans="5:11" x14ac:dyDescent="0.2">
      <c r="E391" s="10"/>
      <c r="F391" s="53"/>
      <c r="G391" s="9"/>
      <c r="J391" s="17"/>
      <c r="K391" s="17"/>
    </row>
    <row r="392" spans="5:11" x14ac:dyDescent="0.2">
      <c r="E392" s="10"/>
      <c r="F392" s="53"/>
      <c r="G392" s="9"/>
      <c r="J392" s="17"/>
      <c r="K392" s="17"/>
    </row>
    <row r="393" spans="5:11" x14ac:dyDescent="0.2">
      <c r="E393" s="10"/>
      <c r="F393" s="53"/>
      <c r="G393" s="9"/>
      <c r="J393" s="17"/>
      <c r="K393" s="17"/>
    </row>
    <row r="394" spans="5:11" x14ac:dyDescent="0.2">
      <c r="E394" s="10"/>
      <c r="F394" s="53"/>
      <c r="G394" s="9"/>
      <c r="J394" s="17"/>
      <c r="K394" s="17"/>
    </row>
    <row r="395" spans="5:11" x14ac:dyDescent="0.2">
      <c r="E395" s="10"/>
      <c r="F395" s="53"/>
      <c r="G395" s="9"/>
      <c r="J395" s="17"/>
      <c r="K395" s="17"/>
    </row>
    <row r="396" spans="5:11" x14ac:dyDescent="0.2">
      <c r="E396" s="10"/>
      <c r="F396" s="53"/>
      <c r="G396" s="9"/>
      <c r="J396" s="17"/>
      <c r="K396" s="17"/>
    </row>
    <row r="397" spans="5:11" x14ac:dyDescent="0.2">
      <c r="E397" s="10"/>
      <c r="F397" s="53"/>
      <c r="G397" s="9"/>
      <c r="J397" s="17"/>
      <c r="K397" s="17"/>
    </row>
    <row r="398" spans="5:11" x14ac:dyDescent="0.2">
      <c r="E398" s="10"/>
      <c r="F398" s="53"/>
      <c r="G398" s="9"/>
      <c r="J398" s="17"/>
      <c r="K398" s="17"/>
    </row>
    <row r="399" spans="5:11" x14ac:dyDescent="0.2">
      <c r="E399" s="10"/>
      <c r="F399" s="53"/>
      <c r="G399" s="9"/>
      <c r="J399" s="17"/>
      <c r="K399" s="17"/>
    </row>
    <row r="400" spans="5:11" x14ac:dyDescent="0.2">
      <c r="E400" s="10"/>
      <c r="F400" s="53"/>
      <c r="G400" s="9"/>
      <c r="J400" s="17"/>
      <c r="K400" s="17"/>
    </row>
    <row r="401" spans="5:11" x14ac:dyDescent="0.2">
      <c r="E401" s="10"/>
      <c r="F401" s="53"/>
      <c r="G401" s="9"/>
      <c r="J401" s="17"/>
      <c r="K401" s="17"/>
    </row>
    <row r="402" spans="5:11" x14ac:dyDescent="0.2">
      <c r="E402" s="10"/>
      <c r="F402" s="53"/>
      <c r="G402" s="9"/>
      <c r="J402" s="17"/>
      <c r="K402" s="17"/>
    </row>
    <row r="403" spans="5:11" x14ac:dyDescent="0.2">
      <c r="E403" s="10"/>
      <c r="F403" s="53"/>
      <c r="G403" s="9"/>
      <c r="J403" s="17"/>
      <c r="K403" s="17"/>
    </row>
    <row r="404" spans="5:11" x14ac:dyDescent="0.2">
      <c r="E404" s="10"/>
      <c r="F404" s="53"/>
      <c r="G404" s="9"/>
      <c r="J404" s="17"/>
      <c r="K404" s="17"/>
    </row>
    <row r="405" spans="5:11" x14ac:dyDescent="0.2">
      <c r="E405" s="10"/>
      <c r="F405" s="53"/>
      <c r="G405" s="9"/>
      <c r="J405" s="17"/>
      <c r="K405" s="17"/>
    </row>
    <row r="406" spans="5:11" x14ac:dyDescent="0.2">
      <c r="E406" s="10"/>
      <c r="F406" s="53"/>
      <c r="G406" s="9"/>
      <c r="J406" s="17"/>
      <c r="K406" s="17"/>
    </row>
    <row r="407" spans="5:11" x14ac:dyDescent="0.2">
      <c r="E407" s="10"/>
      <c r="F407" s="53"/>
      <c r="G407" s="9"/>
      <c r="J407" s="17"/>
      <c r="K407" s="17"/>
    </row>
    <row r="408" spans="5:11" x14ac:dyDescent="0.2">
      <c r="E408" s="10"/>
      <c r="F408" s="53"/>
      <c r="G408" s="9"/>
      <c r="J408" s="17"/>
      <c r="K408" s="17"/>
    </row>
    <row r="409" spans="5:11" x14ac:dyDescent="0.2">
      <c r="E409" s="10"/>
      <c r="F409" s="53"/>
      <c r="G409" s="9"/>
      <c r="J409" s="17"/>
      <c r="K409" s="17"/>
    </row>
    <row r="410" spans="5:11" x14ac:dyDescent="0.2">
      <c r="E410" s="10"/>
      <c r="F410" s="53"/>
      <c r="G410" s="9"/>
      <c r="J410" s="17"/>
      <c r="K410" s="17"/>
    </row>
    <row r="411" spans="5:11" x14ac:dyDescent="0.2">
      <c r="E411" s="10"/>
      <c r="F411" s="53"/>
      <c r="G411" s="9"/>
      <c r="J411" s="17"/>
      <c r="K411" s="17"/>
    </row>
    <row r="412" spans="5:11" x14ac:dyDescent="0.2">
      <c r="E412" s="10"/>
      <c r="F412" s="53"/>
      <c r="G412" s="9"/>
      <c r="J412" s="17"/>
      <c r="K412" s="17"/>
    </row>
    <row r="413" spans="5:11" x14ac:dyDescent="0.2">
      <c r="E413" s="10"/>
      <c r="F413" s="53"/>
      <c r="G413" s="9"/>
      <c r="J413" s="17"/>
      <c r="K413" s="17"/>
    </row>
    <row r="414" spans="5:11" x14ac:dyDescent="0.2">
      <c r="E414" s="10"/>
      <c r="F414" s="53"/>
      <c r="G414" s="9"/>
      <c r="J414" s="17"/>
      <c r="K414" s="17"/>
    </row>
    <row r="415" spans="5:11" x14ac:dyDescent="0.2">
      <c r="E415" s="10"/>
      <c r="F415" s="53"/>
      <c r="G415" s="9"/>
      <c r="J415" s="17"/>
      <c r="K415" s="17"/>
    </row>
    <row r="416" spans="5:11" x14ac:dyDescent="0.2">
      <c r="E416" s="10"/>
      <c r="F416" s="53"/>
      <c r="G416" s="9"/>
      <c r="J416" s="17"/>
      <c r="K416" s="17"/>
    </row>
    <row r="417" spans="5:11" x14ac:dyDescent="0.2">
      <c r="E417" s="10"/>
      <c r="F417" s="53"/>
      <c r="G417" s="9"/>
      <c r="J417" s="17"/>
      <c r="K417" s="17"/>
    </row>
    <row r="418" spans="5:11" x14ac:dyDescent="0.2">
      <c r="E418" s="10"/>
      <c r="F418" s="53"/>
      <c r="G418" s="9"/>
      <c r="J418" s="17"/>
      <c r="K418" s="17"/>
    </row>
    <row r="419" spans="5:11" x14ac:dyDescent="0.2">
      <c r="E419" s="10"/>
      <c r="F419" s="53"/>
      <c r="G419" s="9"/>
      <c r="J419" s="17"/>
      <c r="K419" s="17"/>
    </row>
    <row r="420" spans="5:11" x14ac:dyDescent="0.2">
      <c r="E420" s="10"/>
      <c r="F420" s="53"/>
      <c r="G420" s="9"/>
      <c r="J420" s="17"/>
      <c r="K420" s="17"/>
    </row>
    <row r="421" spans="5:11" x14ac:dyDescent="0.2">
      <c r="E421" s="10"/>
      <c r="F421" s="53"/>
      <c r="G421" s="9"/>
      <c r="J421" s="17"/>
      <c r="K421" s="17"/>
    </row>
    <row r="422" spans="5:11" x14ac:dyDescent="0.2">
      <c r="E422" s="10"/>
      <c r="F422" s="53"/>
      <c r="G422" s="9"/>
      <c r="J422" s="17"/>
      <c r="K422" s="17"/>
    </row>
    <row r="423" spans="5:11" x14ac:dyDescent="0.2">
      <c r="E423" s="10"/>
      <c r="F423" s="53"/>
      <c r="G423" s="9"/>
      <c r="J423" s="17"/>
      <c r="K423" s="17"/>
    </row>
    <row r="424" spans="5:11" x14ac:dyDescent="0.2">
      <c r="E424" s="10"/>
      <c r="F424" s="53"/>
      <c r="G424" s="9"/>
      <c r="J424" s="17"/>
      <c r="K424" s="17"/>
    </row>
    <row r="425" spans="5:11" x14ac:dyDescent="0.2">
      <c r="E425" s="10"/>
      <c r="F425" s="53"/>
      <c r="G425" s="9"/>
      <c r="J425" s="17"/>
      <c r="K425" s="17"/>
    </row>
    <row r="426" spans="5:11" x14ac:dyDescent="0.2">
      <c r="E426" s="10"/>
      <c r="F426" s="53"/>
      <c r="G426" s="9"/>
      <c r="J426" s="17"/>
      <c r="K426" s="17"/>
    </row>
    <row r="427" spans="5:11" x14ac:dyDescent="0.2">
      <c r="E427" s="10"/>
      <c r="F427" s="53"/>
      <c r="G427" s="9"/>
      <c r="J427" s="17"/>
      <c r="K427" s="17"/>
    </row>
    <row r="428" spans="5:11" x14ac:dyDescent="0.2">
      <c r="E428" s="10"/>
      <c r="F428" s="53"/>
      <c r="G428" s="9"/>
      <c r="J428" s="17"/>
      <c r="K428" s="17"/>
    </row>
    <row r="429" spans="5:11" x14ac:dyDescent="0.2">
      <c r="E429" s="10"/>
      <c r="F429" s="53"/>
      <c r="G429" s="9"/>
      <c r="J429" s="17"/>
      <c r="K429" s="17"/>
    </row>
    <row r="430" spans="5:11" x14ac:dyDescent="0.2">
      <c r="E430" s="10"/>
      <c r="F430" s="53"/>
      <c r="G430" s="9"/>
      <c r="J430" s="17"/>
      <c r="K430" s="17"/>
    </row>
    <row r="431" spans="5:11" x14ac:dyDescent="0.2">
      <c r="E431" s="10"/>
      <c r="F431" s="53"/>
      <c r="G431" s="9"/>
      <c r="J431" s="17"/>
      <c r="K431" s="17"/>
    </row>
    <row r="432" spans="5:11" x14ac:dyDescent="0.2">
      <c r="E432" s="10"/>
      <c r="F432" s="53"/>
      <c r="G432" s="9"/>
      <c r="J432" s="17"/>
      <c r="K432" s="17"/>
    </row>
    <row r="433" spans="5:11" x14ac:dyDescent="0.2">
      <c r="E433" s="10"/>
      <c r="F433" s="53"/>
      <c r="G433" s="9"/>
      <c r="J433" s="17"/>
      <c r="K433" s="17"/>
    </row>
    <row r="434" spans="5:11" x14ac:dyDescent="0.2">
      <c r="E434" s="10"/>
      <c r="F434" s="53"/>
      <c r="G434" s="9"/>
      <c r="J434" s="17"/>
      <c r="K434" s="17"/>
    </row>
    <row r="435" spans="5:11" x14ac:dyDescent="0.2">
      <c r="E435" s="10"/>
      <c r="F435" s="53"/>
      <c r="G435" s="9"/>
      <c r="J435" s="17"/>
      <c r="K435" s="17"/>
    </row>
    <row r="436" spans="5:11" x14ac:dyDescent="0.2">
      <c r="E436" s="10"/>
      <c r="F436" s="53"/>
      <c r="G436" s="9"/>
      <c r="J436" s="17"/>
      <c r="K436" s="17"/>
    </row>
    <row r="437" spans="5:11" x14ac:dyDescent="0.2">
      <c r="E437" s="10"/>
      <c r="F437" s="53"/>
      <c r="G437" s="9"/>
      <c r="J437" s="17"/>
      <c r="K437" s="17"/>
    </row>
    <row r="438" spans="5:11" x14ac:dyDescent="0.2">
      <c r="E438" s="10"/>
      <c r="F438" s="53"/>
      <c r="G438" s="9"/>
      <c r="J438" s="17"/>
      <c r="K438" s="17"/>
    </row>
    <row r="439" spans="5:11" x14ac:dyDescent="0.2">
      <c r="E439" s="10"/>
      <c r="F439" s="53"/>
      <c r="G439" s="9"/>
      <c r="J439" s="17"/>
      <c r="K439" s="17"/>
    </row>
    <row r="440" spans="5:11" x14ac:dyDescent="0.2">
      <c r="E440" s="10"/>
      <c r="F440" s="53"/>
      <c r="G440" s="9"/>
      <c r="J440" s="17"/>
      <c r="K440" s="17"/>
    </row>
    <row r="441" spans="5:11" x14ac:dyDescent="0.2">
      <c r="E441" s="10"/>
      <c r="F441" s="53"/>
      <c r="G441" s="9"/>
      <c r="J441" s="17"/>
      <c r="K441" s="17"/>
    </row>
    <row r="442" spans="5:11" x14ac:dyDescent="0.2">
      <c r="E442" s="10"/>
      <c r="F442" s="53"/>
      <c r="G442" s="9"/>
      <c r="J442" s="17"/>
      <c r="K442" s="17"/>
    </row>
    <row r="443" spans="5:11" x14ac:dyDescent="0.2">
      <c r="E443" s="10"/>
      <c r="F443" s="53"/>
      <c r="G443" s="9"/>
      <c r="J443" s="17"/>
      <c r="K443" s="17"/>
    </row>
    <row r="444" spans="5:11" x14ac:dyDescent="0.2">
      <c r="E444" s="10"/>
      <c r="F444" s="53"/>
      <c r="G444" s="9"/>
      <c r="J444" s="17"/>
      <c r="K444" s="17"/>
    </row>
    <row r="445" spans="5:11" x14ac:dyDescent="0.2">
      <c r="E445" s="10"/>
      <c r="F445" s="53"/>
      <c r="G445" s="9"/>
      <c r="J445" s="17"/>
      <c r="K445" s="17"/>
    </row>
    <row r="446" spans="5:11" x14ac:dyDescent="0.2">
      <c r="E446" s="10"/>
      <c r="F446" s="53"/>
      <c r="G446" s="9"/>
      <c r="J446" s="17"/>
      <c r="K446" s="17"/>
    </row>
    <row r="447" spans="5:11" x14ac:dyDescent="0.2">
      <c r="E447" s="10"/>
      <c r="F447" s="53"/>
      <c r="G447" s="9"/>
      <c r="J447" s="17"/>
      <c r="K447" s="17"/>
    </row>
    <row r="448" spans="5:11" x14ac:dyDescent="0.2">
      <c r="E448" s="10"/>
      <c r="F448" s="53"/>
      <c r="G448" s="9"/>
      <c r="J448" s="17"/>
      <c r="K448" s="17"/>
    </row>
    <row r="449" spans="5:11" x14ac:dyDescent="0.2">
      <c r="E449" s="10"/>
      <c r="F449" s="53"/>
      <c r="G449" s="9"/>
      <c r="J449" s="17"/>
      <c r="K449" s="17"/>
    </row>
    <row r="450" spans="5:11" x14ac:dyDescent="0.2">
      <c r="E450" s="10"/>
      <c r="F450" s="53"/>
      <c r="G450" s="9"/>
      <c r="J450" s="17"/>
      <c r="K450" s="17"/>
    </row>
    <row r="451" spans="5:11" x14ac:dyDescent="0.2">
      <c r="E451" s="10"/>
      <c r="F451" s="53"/>
      <c r="G451" s="9"/>
      <c r="J451" s="17"/>
      <c r="K451" s="17"/>
    </row>
    <row r="452" spans="5:11" x14ac:dyDescent="0.2">
      <c r="E452" s="10"/>
      <c r="F452" s="53"/>
      <c r="G452" s="9"/>
      <c r="J452" s="17"/>
      <c r="K452" s="17"/>
    </row>
    <row r="453" spans="5:11" x14ac:dyDescent="0.2">
      <c r="E453" s="10"/>
      <c r="F453" s="53"/>
      <c r="G453" s="9"/>
      <c r="J453" s="17"/>
      <c r="K453" s="17"/>
    </row>
    <row r="454" spans="5:11" x14ac:dyDescent="0.2">
      <c r="E454" s="10"/>
      <c r="F454" s="53"/>
      <c r="G454" s="9"/>
      <c r="J454" s="17"/>
      <c r="K454" s="17"/>
    </row>
    <row r="455" spans="5:11" x14ac:dyDescent="0.2">
      <c r="E455" s="10"/>
      <c r="F455" s="53"/>
      <c r="G455" s="9"/>
      <c r="J455" s="17"/>
      <c r="K455" s="17"/>
    </row>
    <row r="456" spans="5:11" x14ac:dyDescent="0.2">
      <c r="E456" s="10"/>
      <c r="F456" s="53"/>
      <c r="G456" s="9"/>
      <c r="J456" s="17"/>
      <c r="K456" s="17"/>
    </row>
    <row r="457" spans="5:11" x14ac:dyDescent="0.2">
      <c r="E457" s="10"/>
      <c r="F457" s="53"/>
      <c r="G457" s="9"/>
      <c r="J457" s="17"/>
      <c r="K457" s="17"/>
    </row>
    <row r="458" spans="5:11" x14ac:dyDescent="0.2">
      <c r="E458" s="10"/>
      <c r="F458" s="53"/>
      <c r="G458" s="9"/>
      <c r="J458" s="17"/>
      <c r="K458" s="17"/>
    </row>
    <row r="459" spans="5:11" x14ac:dyDescent="0.2">
      <c r="E459" s="10"/>
      <c r="F459" s="53"/>
      <c r="G459" s="9"/>
      <c r="J459" s="17"/>
      <c r="K459" s="17"/>
    </row>
    <row r="460" spans="5:11" x14ac:dyDescent="0.2">
      <c r="E460" s="10"/>
      <c r="F460" s="53"/>
      <c r="G460" s="9"/>
      <c r="J460" s="17"/>
      <c r="K460" s="17"/>
    </row>
    <row r="461" spans="5:11" x14ac:dyDescent="0.2">
      <c r="E461" s="10"/>
      <c r="F461" s="53"/>
      <c r="G461" s="9"/>
      <c r="J461" s="17"/>
      <c r="K461" s="17"/>
    </row>
    <row r="462" spans="5:11" x14ac:dyDescent="0.2">
      <c r="E462" s="10"/>
      <c r="F462" s="53"/>
      <c r="G462" s="9"/>
      <c r="J462" s="17"/>
      <c r="K462" s="17"/>
    </row>
    <row r="463" spans="5:11" x14ac:dyDescent="0.2">
      <c r="E463" s="10"/>
      <c r="F463" s="53"/>
      <c r="G463" s="9"/>
      <c r="J463" s="17"/>
      <c r="K463" s="17"/>
    </row>
    <row r="464" spans="5:11" x14ac:dyDescent="0.2">
      <c r="E464" s="10"/>
      <c r="F464" s="53"/>
      <c r="G464" s="9"/>
      <c r="J464" s="17"/>
      <c r="K464" s="17"/>
    </row>
    <row r="465" spans="5:11" x14ac:dyDescent="0.2">
      <c r="E465" s="10"/>
      <c r="F465" s="53"/>
      <c r="G465" s="9"/>
      <c r="J465" s="17"/>
      <c r="K465" s="17"/>
    </row>
    <row r="466" spans="5:11" x14ac:dyDescent="0.2">
      <c r="E466" s="10"/>
      <c r="F466" s="53"/>
      <c r="G466" s="9"/>
      <c r="J466" s="17"/>
      <c r="K466" s="17"/>
    </row>
    <row r="467" spans="5:11" x14ac:dyDescent="0.2">
      <c r="E467" s="10"/>
      <c r="F467" s="53"/>
      <c r="G467" s="9"/>
      <c r="J467" s="17"/>
      <c r="K467" s="17"/>
    </row>
    <row r="468" spans="5:11" x14ac:dyDescent="0.2">
      <c r="E468" s="10"/>
      <c r="F468" s="53"/>
      <c r="G468" s="9"/>
      <c r="J468" s="17"/>
      <c r="K468" s="17"/>
    </row>
    <row r="469" spans="5:11" x14ac:dyDescent="0.2">
      <c r="E469" s="10"/>
      <c r="F469" s="53"/>
      <c r="G469" s="9"/>
      <c r="J469" s="17"/>
      <c r="K469" s="17"/>
    </row>
    <row r="470" spans="5:11" x14ac:dyDescent="0.2">
      <c r="E470" s="10"/>
      <c r="F470" s="53"/>
      <c r="G470" s="9"/>
      <c r="J470" s="17"/>
      <c r="K470" s="17"/>
    </row>
    <row r="471" spans="5:11" x14ac:dyDescent="0.2">
      <c r="E471" s="10"/>
      <c r="F471" s="53"/>
      <c r="G471" s="9"/>
      <c r="J471" s="17"/>
      <c r="K471" s="17"/>
    </row>
    <row r="472" spans="5:11" x14ac:dyDescent="0.2">
      <c r="E472" s="10"/>
      <c r="F472" s="53"/>
      <c r="G472" s="9"/>
      <c r="J472" s="17"/>
      <c r="K472" s="17"/>
    </row>
    <row r="473" spans="5:11" x14ac:dyDescent="0.2">
      <c r="E473" s="10"/>
      <c r="F473" s="53"/>
      <c r="G473" s="9"/>
      <c r="J473" s="17"/>
      <c r="K473" s="17"/>
    </row>
    <row r="474" spans="5:11" x14ac:dyDescent="0.2">
      <c r="E474" s="10"/>
      <c r="F474" s="53"/>
      <c r="G474" s="9"/>
      <c r="J474" s="17"/>
      <c r="K474" s="17"/>
    </row>
    <row r="475" spans="5:11" x14ac:dyDescent="0.2">
      <c r="E475" s="10"/>
      <c r="F475" s="53"/>
      <c r="G475" s="9"/>
      <c r="J475" s="17"/>
      <c r="K475" s="17"/>
    </row>
    <row r="476" spans="5:11" x14ac:dyDescent="0.2">
      <c r="E476" s="10"/>
      <c r="F476" s="53"/>
      <c r="G476" s="9"/>
      <c r="J476" s="17"/>
      <c r="K476" s="17"/>
    </row>
    <row r="477" spans="5:11" x14ac:dyDescent="0.2">
      <c r="E477" s="10"/>
      <c r="F477" s="53"/>
      <c r="G477" s="9"/>
      <c r="J477" s="17"/>
      <c r="K477" s="17"/>
    </row>
    <row r="478" spans="5:11" x14ac:dyDescent="0.2">
      <c r="E478" s="10"/>
      <c r="F478" s="53"/>
      <c r="G478" s="9"/>
      <c r="J478" s="17"/>
      <c r="K478" s="17"/>
    </row>
    <row r="479" spans="5:11" x14ac:dyDescent="0.2">
      <c r="E479" s="10"/>
      <c r="F479" s="53"/>
      <c r="G479" s="9"/>
      <c r="J479" s="17"/>
      <c r="K479" s="17"/>
    </row>
    <row r="480" spans="5:11" x14ac:dyDescent="0.2">
      <c r="E480" s="10"/>
      <c r="F480" s="53"/>
      <c r="G480" s="9"/>
      <c r="J480" s="17"/>
      <c r="K480" s="17"/>
    </row>
    <row r="481" spans="5:11" x14ac:dyDescent="0.2">
      <c r="E481" s="10"/>
      <c r="F481" s="53"/>
      <c r="G481" s="9"/>
      <c r="J481" s="17"/>
      <c r="K481" s="17"/>
    </row>
    <row r="482" spans="5:11" x14ac:dyDescent="0.2">
      <c r="E482" s="10"/>
      <c r="F482" s="53"/>
      <c r="G482" s="9"/>
      <c r="J482" s="17"/>
      <c r="K482" s="17"/>
    </row>
    <row r="483" spans="5:11" x14ac:dyDescent="0.2">
      <c r="E483" s="10"/>
      <c r="F483" s="53"/>
      <c r="G483" s="9"/>
      <c r="J483" s="17"/>
      <c r="K483" s="17"/>
    </row>
    <row r="484" spans="5:11" x14ac:dyDescent="0.2">
      <c r="E484" s="10"/>
      <c r="F484" s="53"/>
      <c r="G484" s="9"/>
      <c r="J484" s="17"/>
      <c r="K484" s="17"/>
    </row>
    <row r="485" spans="5:11" x14ac:dyDescent="0.2">
      <c r="E485" s="10"/>
      <c r="F485" s="53"/>
      <c r="G485" s="9"/>
      <c r="J485" s="17"/>
      <c r="K485" s="17"/>
    </row>
    <row r="486" spans="5:11" x14ac:dyDescent="0.2">
      <c r="E486" s="10"/>
      <c r="F486" s="53"/>
      <c r="G486" s="9"/>
      <c r="J486" s="17"/>
      <c r="K486" s="17"/>
    </row>
    <row r="487" spans="5:11" x14ac:dyDescent="0.2">
      <c r="E487" s="10"/>
      <c r="F487" s="53"/>
      <c r="G487" s="9"/>
      <c r="J487" s="17"/>
      <c r="K487" s="17"/>
    </row>
    <row r="488" spans="5:11" x14ac:dyDescent="0.2">
      <c r="E488" s="10"/>
      <c r="F488" s="53"/>
      <c r="G488" s="9"/>
      <c r="J488" s="17"/>
      <c r="K488" s="17"/>
    </row>
    <row r="489" spans="5:11" x14ac:dyDescent="0.2">
      <c r="E489" s="10"/>
      <c r="F489" s="53"/>
      <c r="G489" s="9"/>
      <c r="J489" s="17"/>
      <c r="K489" s="17"/>
    </row>
    <row r="490" spans="5:11" x14ac:dyDescent="0.2">
      <c r="E490" s="10"/>
      <c r="F490" s="53"/>
      <c r="G490" s="9"/>
      <c r="J490" s="17"/>
      <c r="K490" s="17"/>
    </row>
    <row r="491" spans="5:11" x14ac:dyDescent="0.2">
      <c r="E491" s="10"/>
      <c r="F491" s="53"/>
      <c r="G491" s="9"/>
      <c r="J491" s="17"/>
      <c r="K491" s="17"/>
    </row>
    <row r="492" spans="5:11" x14ac:dyDescent="0.2">
      <c r="E492" s="10"/>
      <c r="F492" s="53"/>
      <c r="G492" s="9"/>
      <c r="J492" s="17"/>
      <c r="K492" s="17"/>
    </row>
    <row r="493" spans="5:11" x14ac:dyDescent="0.2">
      <c r="E493" s="10"/>
      <c r="F493" s="53"/>
      <c r="G493" s="9"/>
      <c r="J493" s="17"/>
      <c r="K493" s="17"/>
    </row>
    <row r="494" spans="5:11" x14ac:dyDescent="0.2">
      <c r="E494" s="10"/>
      <c r="F494" s="53"/>
      <c r="G494" s="9"/>
      <c r="J494" s="17"/>
      <c r="K494" s="17"/>
    </row>
    <row r="495" spans="5:11" x14ac:dyDescent="0.2">
      <c r="E495" s="10"/>
      <c r="F495" s="53"/>
      <c r="G495" s="9"/>
      <c r="J495" s="17"/>
      <c r="K495" s="17"/>
    </row>
    <row r="496" spans="5:11" x14ac:dyDescent="0.2">
      <c r="E496" s="10"/>
      <c r="F496" s="53"/>
      <c r="G496" s="9"/>
      <c r="J496" s="17"/>
      <c r="K496" s="17"/>
    </row>
    <row r="497" spans="5:11" x14ac:dyDescent="0.2">
      <c r="E497" s="10"/>
      <c r="F497" s="53"/>
      <c r="G497" s="9"/>
      <c r="J497" s="17"/>
      <c r="K497" s="17"/>
    </row>
    <row r="498" spans="5:11" x14ac:dyDescent="0.2">
      <c r="E498" s="10"/>
      <c r="F498" s="53"/>
      <c r="G498" s="9"/>
      <c r="J498" s="17"/>
      <c r="K498" s="17"/>
    </row>
    <row r="499" spans="5:11" x14ac:dyDescent="0.2">
      <c r="E499" s="10"/>
      <c r="F499" s="53"/>
      <c r="G499" s="9"/>
      <c r="J499" s="17"/>
      <c r="K499" s="17"/>
    </row>
    <row r="500" spans="5:11" x14ac:dyDescent="0.2">
      <c r="E500" s="10"/>
      <c r="F500" s="53"/>
      <c r="G500" s="9"/>
      <c r="J500" s="17"/>
      <c r="K500" s="17"/>
    </row>
    <row r="501" spans="5:11" x14ac:dyDescent="0.2">
      <c r="E501" s="10"/>
      <c r="F501" s="53"/>
      <c r="G501" s="9"/>
      <c r="J501" s="17"/>
      <c r="K501" s="17"/>
    </row>
    <row r="502" spans="5:11" x14ac:dyDescent="0.2">
      <c r="E502" s="10"/>
      <c r="F502" s="53"/>
      <c r="G502" s="9"/>
      <c r="J502" s="17"/>
      <c r="K502" s="17"/>
    </row>
    <row r="503" spans="5:11" x14ac:dyDescent="0.2">
      <c r="E503" s="10"/>
      <c r="F503" s="53"/>
      <c r="G503" s="9"/>
      <c r="J503" s="17"/>
      <c r="K503" s="17"/>
    </row>
    <row r="504" spans="5:11" x14ac:dyDescent="0.2">
      <c r="E504" s="10"/>
      <c r="F504" s="53"/>
      <c r="G504" s="9"/>
      <c r="J504" s="17"/>
      <c r="K504" s="17"/>
    </row>
    <row r="505" spans="5:11" x14ac:dyDescent="0.2">
      <c r="E505" s="10"/>
      <c r="F505" s="53"/>
      <c r="G505" s="9"/>
      <c r="J505" s="17"/>
      <c r="K505" s="17"/>
    </row>
    <row r="506" spans="5:11" x14ac:dyDescent="0.2">
      <c r="E506" s="10"/>
      <c r="F506" s="53"/>
      <c r="G506" s="9"/>
      <c r="J506" s="17"/>
      <c r="K506" s="17"/>
    </row>
    <row r="507" spans="5:11" x14ac:dyDescent="0.2">
      <c r="E507" s="10"/>
      <c r="F507" s="53"/>
      <c r="G507" s="9"/>
      <c r="J507" s="17"/>
      <c r="K507" s="17"/>
    </row>
    <row r="508" spans="5:11" x14ac:dyDescent="0.2">
      <c r="E508" s="10"/>
      <c r="F508" s="53"/>
      <c r="G508" s="9"/>
      <c r="J508" s="17"/>
      <c r="K508" s="17"/>
    </row>
    <row r="509" spans="5:11" x14ac:dyDescent="0.2">
      <c r="E509" s="10"/>
      <c r="F509" s="53"/>
      <c r="G509" s="9"/>
      <c r="J509" s="17"/>
      <c r="K509" s="17"/>
    </row>
    <row r="510" spans="5:11" x14ac:dyDescent="0.2">
      <c r="E510" s="10"/>
      <c r="F510" s="53"/>
      <c r="G510" s="9"/>
      <c r="J510" s="17"/>
      <c r="K510" s="17"/>
    </row>
    <row r="511" spans="5:11" x14ac:dyDescent="0.2">
      <c r="E511" s="10"/>
      <c r="F511" s="53"/>
      <c r="G511" s="9"/>
      <c r="J511" s="17"/>
      <c r="K511" s="17"/>
    </row>
    <row r="512" spans="5:11" x14ac:dyDescent="0.2">
      <c r="E512" s="10"/>
      <c r="F512" s="53"/>
      <c r="G512" s="9"/>
      <c r="J512" s="17"/>
      <c r="K512" s="17"/>
    </row>
    <row r="513" spans="5:11" x14ac:dyDescent="0.2">
      <c r="E513" s="10"/>
      <c r="F513" s="53"/>
      <c r="G513" s="9"/>
      <c r="J513" s="17"/>
      <c r="K513" s="17"/>
    </row>
    <row r="514" spans="5:11" x14ac:dyDescent="0.2">
      <c r="E514" s="10"/>
      <c r="F514" s="53"/>
      <c r="G514" s="9"/>
      <c r="J514" s="17"/>
      <c r="K514" s="17"/>
    </row>
    <row r="515" spans="5:11" x14ac:dyDescent="0.2">
      <c r="E515" s="10"/>
      <c r="F515" s="53"/>
      <c r="G515" s="9"/>
      <c r="J515" s="17"/>
      <c r="K515" s="17"/>
    </row>
    <row r="516" spans="5:11" x14ac:dyDescent="0.2">
      <c r="E516" s="10"/>
      <c r="F516" s="53"/>
      <c r="G516" s="9"/>
      <c r="J516" s="17"/>
      <c r="K516" s="17"/>
    </row>
    <row r="517" spans="5:11" x14ac:dyDescent="0.2">
      <c r="E517" s="10"/>
      <c r="F517" s="53"/>
      <c r="G517" s="9"/>
      <c r="J517" s="17"/>
      <c r="K517" s="17"/>
    </row>
    <row r="518" spans="5:11" x14ac:dyDescent="0.2">
      <c r="E518" s="10"/>
      <c r="F518" s="53"/>
      <c r="G518" s="9"/>
      <c r="J518" s="17"/>
      <c r="K518" s="17"/>
    </row>
    <row r="519" spans="5:11" x14ac:dyDescent="0.2">
      <c r="E519" s="10"/>
      <c r="F519" s="53"/>
      <c r="G519" s="9"/>
      <c r="J519" s="17"/>
      <c r="K519" s="17"/>
    </row>
    <row r="520" spans="5:11" x14ac:dyDescent="0.2">
      <c r="E520" s="10"/>
      <c r="F520" s="53"/>
      <c r="G520" s="9"/>
      <c r="J520" s="17"/>
      <c r="K520" s="17"/>
    </row>
    <row r="521" spans="5:11" x14ac:dyDescent="0.2">
      <c r="E521" s="10"/>
      <c r="F521" s="53"/>
      <c r="G521" s="9"/>
      <c r="J521" s="17"/>
      <c r="K521" s="17"/>
    </row>
    <row r="522" spans="5:11" x14ac:dyDescent="0.2">
      <c r="E522" s="10"/>
      <c r="F522" s="53"/>
      <c r="G522" s="9"/>
      <c r="J522" s="17"/>
      <c r="K522" s="17"/>
    </row>
    <row r="523" spans="5:11" x14ac:dyDescent="0.2">
      <c r="E523" s="10"/>
      <c r="F523" s="53"/>
      <c r="G523" s="9"/>
      <c r="J523" s="17"/>
      <c r="K523" s="17"/>
    </row>
    <row r="524" spans="5:11" x14ac:dyDescent="0.2">
      <c r="E524" s="10"/>
      <c r="F524" s="53"/>
      <c r="G524" s="9"/>
      <c r="J524" s="17"/>
      <c r="K524" s="17"/>
    </row>
    <row r="525" spans="5:11" x14ac:dyDescent="0.2">
      <c r="E525" s="10"/>
      <c r="F525" s="53"/>
      <c r="G525" s="9"/>
      <c r="J525" s="17"/>
      <c r="K525" s="17"/>
    </row>
    <row r="526" spans="5:11" x14ac:dyDescent="0.2">
      <c r="E526" s="10"/>
      <c r="F526" s="53"/>
      <c r="G526" s="9"/>
      <c r="J526" s="17"/>
      <c r="K526" s="17"/>
    </row>
    <row r="527" spans="5:11" x14ac:dyDescent="0.2">
      <c r="E527" s="10"/>
      <c r="F527" s="53"/>
      <c r="G527" s="9"/>
      <c r="J527" s="17"/>
      <c r="K527" s="17"/>
    </row>
    <row r="528" spans="5:11" x14ac:dyDescent="0.2">
      <c r="E528" s="10"/>
      <c r="F528" s="53"/>
      <c r="G528" s="9"/>
      <c r="J528" s="17"/>
      <c r="K528" s="17"/>
    </row>
    <row r="529" spans="5:11" x14ac:dyDescent="0.2">
      <c r="E529" s="10"/>
      <c r="F529" s="53"/>
      <c r="G529" s="9"/>
      <c r="J529" s="17"/>
      <c r="K529" s="17"/>
    </row>
    <row r="530" spans="5:11" x14ac:dyDescent="0.2">
      <c r="E530" s="10"/>
      <c r="F530" s="53"/>
      <c r="G530" s="9"/>
      <c r="J530" s="17"/>
      <c r="K530" s="17"/>
    </row>
    <row r="531" spans="5:11" x14ac:dyDescent="0.2">
      <c r="E531" s="10"/>
      <c r="F531" s="53"/>
      <c r="G531" s="9"/>
      <c r="J531" s="17"/>
      <c r="K531" s="17"/>
    </row>
    <row r="532" spans="5:11" x14ac:dyDescent="0.2">
      <c r="E532" s="10"/>
      <c r="F532" s="53"/>
      <c r="G532" s="9"/>
      <c r="J532" s="17"/>
      <c r="K532" s="17"/>
    </row>
    <row r="533" spans="5:11" x14ac:dyDescent="0.2">
      <c r="E533" s="10"/>
      <c r="F533" s="53"/>
      <c r="G533" s="9"/>
      <c r="J533" s="17"/>
      <c r="K533" s="17"/>
    </row>
    <row r="534" spans="5:11" x14ac:dyDescent="0.2">
      <c r="E534" s="10"/>
      <c r="F534" s="53"/>
      <c r="G534" s="9"/>
      <c r="J534" s="17"/>
      <c r="K534" s="17"/>
    </row>
    <row r="535" spans="5:11" x14ac:dyDescent="0.2">
      <c r="E535" s="10"/>
      <c r="F535" s="53"/>
      <c r="G535" s="9"/>
      <c r="J535" s="17"/>
      <c r="K535" s="17"/>
    </row>
    <row r="536" spans="5:11" x14ac:dyDescent="0.2">
      <c r="E536" s="10"/>
      <c r="F536" s="53"/>
      <c r="G536" s="9"/>
      <c r="J536" s="17"/>
      <c r="K536" s="17"/>
    </row>
    <row r="537" spans="5:11" x14ac:dyDescent="0.2">
      <c r="E537" s="10"/>
      <c r="F537" s="53"/>
      <c r="G537" s="9"/>
      <c r="J537" s="17"/>
      <c r="K537" s="17"/>
    </row>
    <row r="538" spans="5:11" x14ac:dyDescent="0.2">
      <c r="E538" s="10"/>
      <c r="F538" s="53"/>
      <c r="G538" s="9"/>
      <c r="J538" s="17"/>
      <c r="K538" s="17"/>
    </row>
    <row r="539" spans="5:11" x14ac:dyDescent="0.2">
      <c r="E539" s="10"/>
      <c r="F539" s="53"/>
      <c r="G539" s="9"/>
      <c r="J539" s="17"/>
      <c r="K539" s="17"/>
    </row>
    <row r="540" spans="5:11" x14ac:dyDescent="0.2">
      <c r="E540" s="10"/>
      <c r="F540" s="53"/>
      <c r="G540" s="9"/>
      <c r="J540" s="17"/>
      <c r="K540" s="17"/>
    </row>
    <row r="541" spans="5:11" x14ac:dyDescent="0.2">
      <c r="E541" s="10"/>
      <c r="F541" s="53"/>
      <c r="G541" s="9"/>
      <c r="J541" s="17"/>
      <c r="K541" s="17"/>
    </row>
    <row r="542" spans="5:11" x14ac:dyDescent="0.2">
      <c r="E542" s="10"/>
      <c r="F542" s="53"/>
      <c r="G542" s="9"/>
      <c r="J542" s="17"/>
      <c r="K542" s="17"/>
    </row>
    <row r="543" spans="5:11" x14ac:dyDescent="0.2">
      <c r="E543" s="10"/>
      <c r="F543" s="53"/>
      <c r="G543" s="9"/>
      <c r="J543" s="17"/>
      <c r="K543" s="17"/>
    </row>
    <row r="544" spans="5:11" x14ac:dyDescent="0.2">
      <c r="E544" s="10"/>
      <c r="F544" s="53"/>
      <c r="G544" s="9"/>
      <c r="J544" s="17"/>
      <c r="K544" s="17"/>
    </row>
    <row r="545" spans="5:11" x14ac:dyDescent="0.2">
      <c r="E545" s="10"/>
      <c r="F545" s="53"/>
      <c r="G545" s="9"/>
      <c r="J545" s="17"/>
      <c r="K545" s="17"/>
    </row>
    <row r="546" spans="5:11" x14ac:dyDescent="0.2">
      <c r="E546" s="10"/>
      <c r="F546" s="53"/>
      <c r="G546" s="9"/>
      <c r="J546" s="17"/>
      <c r="K546" s="17"/>
    </row>
    <row r="547" spans="5:11" x14ac:dyDescent="0.2">
      <c r="E547" s="10"/>
      <c r="F547" s="53"/>
      <c r="G547" s="9"/>
      <c r="J547" s="17"/>
      <c r="K547" s="17"/>
    </row>
    <row r="548" spans="5:11" x14ac:dyDescent="0.2">
      <c r="E548" s="10"/>
      <c r="F548" s="53"/>
      <c r="G548" s="9"/>
      <c r="J548" s="17"/>
      <c r="K548" s="17"/>
    </row>
    <row r="549" spans="5:11" x14ac:dyDescent="0.2">
      <c r="E549" s="10"/>
      <c r="F549" s="53"/>
      <c r="G549" s="9"/>
      <c r="J549" s="17"/>
      <c r="K549" s="17"/>
    </row>
    <row r="550" spans="5:11" x14ac:dyDescent="0.2">
      <c r="E550" s="10"/>
      <c r="F550" s="53"/>
      <c r="G550" s="9"/>
      <c r="J550" s="17"/>
      <c r="K550" s="17"/>
    </row>
    <row r="551" spans="5:11" x14ac:dyDescent="0.2">
      <c r="E551" s="10"/>
      <c r="F551" s="53"/>
      <c r="G551" s="9"/>
      <c r="J551" s="17"/>
      <c r="K551" s="17"/>
    </row>
    <row r="552" spans="5:11" x14ac:dyDescent="0.2">
      <c r="E552" s="10"/>
      <c r="F552" s="53"/>
      <c r="G552" s="9"/>
      <c r="J552" s="17"/>
      <c r="K552" s="17"/>
    </row>
    <row r="553" spans="5:11" x14ac:dyDescent="0.2">
      <c r="E553" s="10"/>
      <c r="F553" s="53"/>
      <c r="G553" s="9"/>
      <c r="J553" s="17"/>
      <c r="K553" s="17"/>
    </row>
    <row r="554" spans="5:11" x14ac:dyDescent="0.2">
      <c r="E554" s="10"/>
      <c r="F554" s="53"/>
      <c r="G554" s="9"/>
      <c r="J554" s="17"/>
      <c r="K554" s="17"/>
    </row>
    <row r="555" spans="5:11" x14ac:dyDescent="0.2">
      <c r="E555" s="10"/>
      <c r="F555" s="53"/>
      <c r="G555" s="9"/>
      <c r="J555" s="17"/>
      <c r="K555" s="17"/>
    </row>
    <row r="556" spans="5:11" x14ac:dyDescent="0.2">
      <c r="E556" s="10"/>
      <c r="F556" s="53"/>
      <c r="G556" s="9"/>
      <c r="J556" s="17"/>
      <c r="K556" s="17"/>
    </row>
    <row r="557" spans="5:11" x14ac:dyDescent="0.2">
      <c r="E557" s="10"/>
      <c r="F557" s="53"/>
      <c r="G557" s="9"/>
      <c r="J557" s="17"/>
      <c r="K557" s="17"/>
    </row>
    <row r="558" spans="5:11" x14ac:dyDescent="0.2">
      <c r="E558" s="10"/>
      <c r="F558" s="53"/>
      <c r="G558" s="9"/>
      <c r="J558" s="17"/>
      <c r="K558" s="17"/>
    </row>
    <row r="559" spans="5:11" x14ac:dyDescent="0.2">
      <c r="E559" s="10"/>
      <c r="F559" s="53"/>
      <c r="G559" s="9"/>
      <c r="J559" s="17"/>
      <c r="K559" s="17"/>
    </row>
    <row r="560" spans="5:11" x14ac:dyDescent="0.2">
      <c r="E560" s="10"/>
      <c r="F560" s="53"/>
      <c r="G560" s="9"/>
      <c r="J560" s="17"/>
      <c r="K560" s="17"/>
    </row>
    <row r="561" spans="5:11" x14ac:dyDescent="0.2">
      <c r="E561" s="10"/>
      <c r="F561" s="53"/>
      <c r="G561" s="9"/>
      <c r="J561" s="17"/>
      <c r="K561" s="17"/>
    </row>
    <row r="562" spans="5:11" x14ac:dyDescent="0.2">
      <c r="E562" s="10"/>
      <c r="F562" s="53"/>
      <c r="G562" s="9"/>
      <c r="J562" s="17"/>
      <c r="K562" s="17"/>
    </row>
    <row r="563" spans="5:11" x14ac:dyDescent="0.2">
      <c r="E563" s="10"/>
      <c r="F563" s="53"/>
      <c r="G563" s="9"/>
      <c r="J563" s="17"/>
      <c r="K563" s="17"/>
    </row>
    <row r="564" spans="5:11" x14ac:dyDescent="0.2">
      <c r="E564" s="10"/>
      <c r="F564" s="53"/>
      <c r="G564" s="9"/>
      <c r="J564" s="17"/>
      <c r="K564" s="17"/>
    </row>
    <row r="565" spans="5:11" x14ac:dyDescent="0.2">
      <c r="E565" s="10"/>
      <c r="F565" s="53"/>
      <c r="G565" s="9"/>
      <c r="J565" s="17"/>
      <c r="K565" s="17"/>
    </row>
    <row r="566" spans="5:11" x14ac:dyDescent="0.2">
      <c r="E566" s="10"/>
      <c r="F566" s="53"/>
      <c r="G566" s="9"/>
      <c r="J566" s="17"/>
      <c r="K566" s="17"/>
    </row>
    <row r="567" spans="5:11" x14ac:dyDescent="0.2">
      <c r="E567" s="10"/>
      <c r="F567" s="53"/>
      <c r="G567" s="9"/>
      <c r="J567" s="17"/>
      <c r="K567" s="17"/>
    </row>
    <row r="568" spans="5:11" x14ac:dyDescent="0.2">
      <c r="E568" s="10"/>
      <c r="F568" s="53"/>
      <c r="G568" s="9"/>
      <c r="J568" s="17"/>
      <c r="K568" s="17"/>
    </row>
    <row r="569" spans="5:11" x14ac:dyDescent="0.2">
      <c r="E569" s="10"/>
      <c r="F569" s="53"/>
      <c r="G569" s="9"/>
      <c r="J569" s="17"/>
      <c r="K569" s="17"/>
    </row>
    <row r="570" spans="5:11" x14ac:dyDescent="0.2">
      <c r="E570" s="10"/>
      <c r="F570" s="53"/>
      <c r="G570" s="9"/>
      <c r="J570" s="17"/>
      <c r="K570" s="17"/>
    </row>
    <row r="571" spans="5:11" x14ac:dyDescent="0.2">
      <c r="E571" s="10"/>
      <c r="F571" s="53"/>
      <c r="G571" s="9"/>
      <c r="J571" s="17"/>
      <c r="K571" s="17"/>
    </row>
    <row r="572" spans="5:11" x14ac:dyDescent="0.2">
      <c r="E572" s="10"/>
      <c r="F572" s="53"/>
      <c r="G572" s="9"/>
      <c r="J572" s="17"/>
      <c r="K572" s="17"/>
    </row>
    <row r="573" spans="5:11" x14ac:dyDescent="0.2">
      <c r="E573" s="10"/>
      <c r="F573" s="53"/>
      <c r="G573" s="9"/>
      <c r="J573" s="17"/>
      <c r="K573" s="17"/>
    </row>
    <row r="574" spans="5:11" x14ac:dyDescent="0.2">
      <c r="E574" s="10"/>
      <c r="F574" s="53"/>
      <c r="G574" s="9"/>
      <c r="J574" s="17"/>
      <c r="K574" s="17"/>
    </row>
    <row r="575" spans="5:11" x14ac:dyDescent="0.2">
      <c r="E575" s="10"/>
      <c r="F575" s="53"/>
      <c r="G575" s="9"/>
      <c r="J575" s="17"/>
      <c r="K575" s="17"/>
    </row>
    <row r="576" spans="5:11" x14ac:dyDescent="0.2">
      <c r="E576" s="10"/>
      <c r="F576" s="53"/>
      <c r="G576" s="9"/>
      <c r="J576" s="17"/>
      <c r="K576" s="17"/>
    </row>
    <row r="577" spans="5:11" x14ac:dyDescent="0.2">
      <c r="E577" s="10"/>
      <c r="F577" s="53"/>
      <c r="G577" s="9"/>
      <c r="J577" s="17"/>
      <c r="K577" s="17"/>
    </row>
    <row r="578" spans="5:11" x14ac:dyDescent="0.2">
      <c r="E578" s="10"/>
      <c r="F578" s="53"/>
      <c r="G578" s="9"/>
      <c r="J578" s="17"/>
      <c r="K578" s="17"/>
    </row>
    <row r="579" spans="5:11" x14ac:dyDescent="0.2">
      <c r="E579" s="10"/>
      <c r="F579" s="53"/>
      <c r="G579" s="9"/>
      <c r="J579" s="17"/>
      <c r="K579" s="17"/>
    </row>
    <row r="580" spans="5:11" x14ac:dyDescent="0.2">
      <c r="E580" s="10"/>
      <c r="F580" s="53"/>
      <c r="G580" s="9"/>
      <c r="J580" s="17"/>
      <c r="K580" s="17"/>
    </row>
    <row r="581" spans="5:11" x14ac:dyDescent="0.2">
      <c r="E581" s="10"/>
      <c r="F581" s="53"/>
      <c r="G581" s="9"/>
      <c r="J581" s="17"/>
      <c r="K581" s="17"/>
    </row>
    <row r="582" spans="5:11" x14ac:dyDescent="0.2">
      <c r="E582" s="10"/>
      <c r="F582" s="53"/>
      <c r="G582" s="9"/>
      <c r="J582" s="17"/>
      <c r="K582" s="17"/>
    </row>
    <row r="583" spans="5:11" x14ac:dyDescent="0.2">
      <c r="E583" s="10"/>
      <c r="F583" s="53"/>
      <c r="G583" s="9"/>
      <c r="J583" s="17"/>
      <c r="K583" s="17"/>
    </row>
    <row r="584" spans="5:11" x14ac:dyDescent="0.2">
      <c r="E584" s="10"/>
      <c r="F584" s="53"/>
      <c r="G584" s="9"/>
      <c r="J584" s="17"/>
      <c r="K584" s="17"/>
    </row>
    <row r="585" spans="5:11" x14ac:dyDescent="0.2">
      <c r="E585" s="10"/>
      <c r="F585" s="53"/>
      <c r="G585" s="9"/>
      <c r="J585" s="17"/>
      <c r="K585" s="17"/>
    </row>
    <row r="586" spans="5:11" x14ac:dyDescent="0.2">
      <c r="E586" s="10"/>
      <c r="F586" s="53"/>
      <c r="G586" s="9"/>
      <c r="J586" s="17"/>
      <c r="K586" s="17"/>
    </row>
    <row r="587" spans="5:11" x14ac:dyDescent="0.2">
      <c r="E587" s="10"/>
      <c r="F587" s="53"/>
      <c r="G587" s="9"/>
      <c r="J587" s="17"/>
      <c r="K587" s="17"/>
    </row>
    <row r="588" spans="5:11" x14ac:dyDescent="0.2">
      <c r="E588" s="10"/>
      <c r="F588" s="53"/>
      <c r="G588" s="9"/>
      <c r="J588" s="17"/>
      <c r="K588" s="17"/>
    </row>
    <row r="589" spans="5:11" x14ac:dyDescent="0.2">
      <c r="E589" s="10"/>
      <c r="F589" s="53"/>
      <c r="G589" s="9"/>
      <c r="J589" s="17"/>
      <c r="K589" s="17"/>
    </row>
    <row r="590" spans="5:11" x14ac:dyDescent="0.2">
      <c r="E590" s="10"/>
      <c r="F590" s="53"/>
      <c r="G590" s="9"/>
      <c r="J590" s="17"/>
      <c r="K590" s="17"/>
    </row>
    <row r="591" spans="5:11" x14ac:dyDescent="0.2">
      <c r="E591" s="10"/>
      <c r="F591" s="53"/>
      <c r="G591" s="9"/>
      <c r="J591" s="17"/>
      <c r="K591" s="17"/>
    </row>
    <row r="592" spans="5:11" x14ac:dyDescent="0.2">
      <c r="E592" s="10"/>
      <c r="F592" s="53"/>
      <c r="G592" s="9"/>
      <c r="J592" s="17"/>
      <c r="K592" s="17"/>
    </row>
    <row r="593" spans="5:11" x14ac:dyDescent="0.2">
      <c r="E593" s="10"/>
      <c r="F593" s="53"/>
      <c r="G593" s="9"/>
      <c r="J593" s="17"/>
      <c r="K593" s="17"/>
    </row>
    <row r="594" spans="5:11" x14ac:dyDescent="0.2">
      <c r="E594" s="10"/>
      <c r="F594" s="53"/>
      <c r="G594" s="9"/>
      <c r="J594" s="17"/>
      <c r="K594" s="17"/>
    </row>
    <row r="595" spans="5:11" x14ac:dyDescent="0.2">
      <c r="E595" s="10"/>
      <c r="F595" s="53"/>
      <c r="G595" s="9"/>
      <c r="J595" s="17"/>
      <c r="K595" s="17"/>
    </row>
    <row r="596" spans="5:11" x14ac:dyDescent="0.2">
      <c r="E596" s="10"/>
      <c r="F596" s="53"/>
      <c r="G596" s="9"/>
      <c r="J596" s="17"/>
      <c r="K596" s="17"/>
    </row>
    <row r="597" spans="5:11" x14ac:dyDescent="0.2">
      <c r="E597" s="10"/>
      <c r="F597" s="53"/>
      <c r="G597" s="9"/>
      <c r="J597" s="17"/>
      <c r="K597" s="17"/>
    </row>
    <row r="598" spans="5:11" x14ac:dyDescent="0.2">
      <c r="E598" s="10"/>
      <c r="F598" s="53"/>
      <c r="G598" s="9"/>
      <c r="J598" s="17"/>
      <c r="K598" s="17"/>
    </row>
    <row r="599" spans="5:11" x14ac:dyDescent="0.2">
      <c r="E599" s="10"/>
      <c r="F599" s="53"/>
      <c r="G599" s="9"/>
      <c r="J599" s="17"/>
      <c r="K599" s="17"/>
    </row>
    <row r="600" spans="5:11" x14ac:dyDescent="0.2">
      <c r="E600" s="10"/>
      <c r="F600" s="53"/>
      <c r="G600" s="9"/>
      <c r="J600" s="17"/>
      <c r="K600" s="17"/>
    </row>
    <row r="601" spans="5:11" x14ac:dyDescent="0.2">
      <c r="E601" s="10"/>
      <c r="F601" s="53"/>
      <c r="G601" s="9"/>
      <c r="J601" s="17"/>
      <c r="K601" s="17"/>
    </row>
    <row r="602" spans="5:11" x14ac:dyDescent="0.2">
      <c r="E602" s="10"/>
      <c r="F602" s="53"/>
      <c r="G602" s="9"/>
      <c r="J602" s="17"/>
      <c r="K602" s="17"/>
    </row>
    <row r="603" spans="5:11" x14ac:dyDescent="0.2">
      <c r="E603" s="10"/>
      <c r="F603" s="53"/>
      <c r="G603" s="9"/>
      <c r="J603" s="17"/>
      <c r="K603" s="17"/>
    </row>
    <row r="604" spans="5:11" x14ac:dyDescent="0.2">
      <c r="E604" s="10"/>
      <c r="F604" s="53"/>
      <c r="G604" s="9"/>
      <c r="J604" s="17"/>
      <c r="K604" s="17"/>
    </row>
    <row r="605" spans="5:11" x14ac:dyDescent="0.2">
      <c r="E605" s="10"/>
      <c r="F605" s="53"/>
      <c r="G605" s="9"/>
      <c r="J605" s="17"/>
      <c r="K605" s="17"/>
    </row>
    <row r="606" spans="5:11" x14ac:dyDescent="0.2">
      <c r="E606" s="10"/>
      <c r="F606" s="53"/>
      <c r="G606" s="9"/>
      <c r="J606" s="17"/>
      <c r="K606" s="17"/>
    </row>
    <row r="607" spans="5:11" x14ac:dyDescent="0.2">
      <c r="E607" s="10"/>
      <c r="F607" s="53"/>
      <c r="G607" s="9"/>
      <c r="J607" s="17"/>
      <c r="K607" s="17"/>
    </row>
    <row r="608" spans="5:11" x14ac:dyDescent="0.2">
      <c r="E608" s="10"/>
      <c r="F608" s="53"/>
      <c r="G608" s="9"/>
      <c r="J608" s="17"/>
      <c r="K608" s="17"/>
    </row>
    <row r="609" spans="5:11" x14ac:dyDescent="0.2">
      <c r="E609" s="10"/>
      <c r="F609" s="53"/>
      <c r="G609" s="9"/>
      <c r="J609" s="17"/>
      <c r="K609" s="17"/>
    </row>
    <row r="610" spans="5:11" x14ac:dyDescent="0.2">
      <c r="E610" s="10"/>
      <c r="F610" s="53"/>
      <c r="G610" s="9"/>
      <c r="J610" s="17"/>
      <c r="K610" s="17"/>
    </row>
    <row r="611" spans="5:11" x14ac:dyDescent="0.2">
      <c r="E611" s="10"/>
      <c r="F611" s="53"/>
      <c r="G611" s="9"/>
      <c r="J611" s="17"/>
      <c r="K611" s="17"/>
    </row>
    <row r="612" spans="5:11" x14ac:dyDescent="0.2">
      <c r="E612" s="10"/>
      <c r="F612" s="53"/>
      <c r="G612" s="9"/>
      <c r="J612" s="17"/>
      <c r="K612" s="17"/>
    </row>
    <row r="613" spans="5:11" x14ac:dyDescent="0.2">
      <c r="E613" s="10"/>
      <c r="F613" s="53"/>
      <c r="G613" s="9"/>
      <c r="J613" s="17"/>
      <c r="K613" s="17"/>
    </row>
    <row r="614" spans="5:11" x14ac:dyDescent="0.2">
      <c r="E614" s="10"/>
      <c r="F614" s="53"/>
      <c r="G614" s="9"/>
      <c r="J614" s="17"/>
      <c r="K614" s="17"/>
    </row>
    <row r="615" spans="5:11" x14ac:dyDescent="0.2">
      <c r="E615" s="10"/>
      <c r="F615" s="53"/>
      <c r="G615" s="9"/>
      <c r="J615" s="17"/>
      <c r="K615" s="17"/>
    </row>
    <row r="616" spans="5:11" x14ac:dyDescent="0.2">
      <c r="E616" s="10"/>
      <c r="F616" s="53"/>
      <c r="G616" s="9"/>
      <c r="J616" s="17"/>
      <c r="K616" s="17"/>
    </row>
    <row r="617" spans="5:11" x14ac:dyDescent="0.2">
      <c r="E617" s="10"/>
      <c r="F617" s="53"/>
      <c r="G617" s="9"/>
      <c r="J617" s="17"/>
      <c r="K617" s="17"/>
    </row>
    <row r="618" spans="5:11" x14ac:dyDescent="0.2">
      <c r="E618" s="10"/>
      <c r="F618" s="53"/>
      <c r="G618" s="9"/>
      <c r="J618" s="17"/>
      <c r="K618" s="17"/>
    </row>
    <row r="619" spans="5:11" x14ac:dyDescent="0.2">
      <c r="E619" s="10"/>
      <c r="F619" s="53"/>
      <c r="G619" s="9"/>
      <c r="J619" s="17"/>
      <c r="K619" s="17"/>
    </row>
    <row r="620" spans="5:11" x14ac:dyDescent="0.2">
      <c r="E620" s="10"/>
      <c r="F620" s="53"/>
      <c r="G620" s="9"/>
      <c r="J620" s="17"/>
      <c r="K620" s="17"/>
    </row>
    <row r="621" spans="5:11" x14ac:dyDescent="0.2">
      <c r="E621" s="10"/>
      <c r="F621" s="53"/>
      <c r="G621" s="9"/>
      <c r="J621" s="17"/>
      <c r="K621" s="17"/>
    </row>
    <row r="622" spans="5:11" x14ac:dyDescent="0.2">
      <c r="E622" s="10"/>
      <c r="F622" s="53"/>
      <c r="G622" s="9"/>
      <c r="J622" s="17"/>
      <c r="K622" s="17"/>
    </row>
    <row r="623" spans="5:11" x14ac:dyDescent="0.2">
      <c r="E623" s="10"/>
      <c r="F623" s="53"/>
      <c r="G623" s="9"/>
      <c r="J623" s="17"/>
      <c r="K623" s="17"/>
    </row>
    <row r="624" spans="5:11" x14ac:dyDescent="0.2">
      <c r="E624" s="10"/>
      <c r="F624" s="53"/>
      <c r="G624" s="9"/>
      <c r="J624" s="17"/>
      <c r="K624" s="17"/>
    </row>
    <row r="625" spans="5:11" x14ac:dyDescent="0.2">
      <c r="E625" s="10"/>
      <c r="F625" s="53"/>
      <c r="G625" s="9"/>
      <c r="J625" s="17"/>
      <c r="K625" s="17"/>
    </row>
    <row r="626" spans="5:11" x14ac:dyDescent="0.2">
      <c r="E626" s="10"/>
      <c r="F626" s="53"/>
      <c r="G626" s="9"/>
      <c r="J626" s="17"/>
      <c r="K626" s="17"/>
    </row>
    <row r="627" spans="5:11" x14ac:dyDescent="0.2">
      <c r="E627" s="10"/>
      <c r="F627" s="53"/>
      <c r="G627" s="9"/>
      <c r="J627" s="17"/>
      <c r="K627" s="17"/>
    </row>
    <row r="628" spans="5:11" x14ac:dyDescent="0.2">
      <c r="E628" s="10"/>
      <c r="F628" s="53"/>
      <c r="G628" s="9"/>
      <c r="J628" s="17"/>
      <c r="K628" s="17"/>
    </row>
    <row r="629" spans="5:11" x14ac:dyDescent="0.2">
      <c r="E629" s="10"/>
      <c r="F629" s="53"/>
      <c r="G629" s="9"/>
      <c r="J629" s="17"/>
      <c r="K629" s="17"/>
    </row>
    <row r="630" spans="5:11" x14ac:dyDescent="0.2">
      <c r="E630" s="10"/>
      <c r="F630" s="53"/>
      <c r="G630" s="9"/>
      <c r="J630" s="17"/>
      <c r="K630" s="17"/>
    </row>
    <row r="631" spans="5:11" x14ac:dyDescent="0.2">
      <c r="E631" s="10"/>
      <c r="F631" s="53"/>
      <c r="G631" s="9"/>
      <c r="J631" s="17"/>
      <c r="K631" s="17"/>
    </row>
    <row r="632" spans="5:11" x14ac:dyDescent="0.2">
      <c r="E632" s="10"/>
      <c r="F632" s="53"/>
      <c r="G632" s="9"/>
      <c r="J632" s="17"/>
      <c r="K632" s="17"/>
    </row>
    <row r="633" spans="5:11" x14ac:dyDescent="0.2">
      <c r="E633" s="10"/>
      <c r="F633" s="53"/>
      <c r="G633" s="9"/>
      <c r="J633" s="17"/>
      <c r="K633" s="17"/>
    </row>
    <row r="634" spans="5:11" x14ac:dyDescent="0.2">
      <c r="E634" s="10"/>
      <c r="F634" s="53"/>
      <c r="G634" s="9"/>
      <c r="J634" s="17"/>
      <c r="K634" s="17"/>
    </row>
    <row r="635" spans="5:11" x14ac:dyDescent="0.2">
      <c r="E635" s="10"/>
      <c r="F635" s="53"/>
      <c r="G635" s="9"/>
      <c r="J635" s="17"/>
      <c r="K635" s="17"/>
    </row>
    <row r="636" spans="5:11" x14ac:dyDescent="0.2">
      <c r="E636" s="10"/>
      <c r="F636" s="53"/>
      <c r="G636" s="9"/>
      <c r="J636" s="17"/>
      <c r="K636" s="17"/>
    </row>
    <row r="637" spans="5:11" x14ac:dyDescent="0.2">
      <c r="E637" s="10"/>
      <c r="F637" s="53"/>
      <c r="G637" s="9"/>
      <c r="J637" s="17"/>
      <c r="K637" s="17"/>
    </row>
    <row r="638" spans="5:11" x14ac:dyDescent="0.2">
      <c r="E638" s="10"/>
      <c r="F638" s="53"/>
      <c r="G638" s="9"/>
      <c r="J638" s="17"/>
      <c r="K638" s="17"/>
    </row>
    <row r="639" spans="5:11" x14ac:dyDescent="0.2">
      <c r="E639" s="10"/>
      <c r="F639" s="53"/>
      <c r="G639" s="9"/>
      <c r="J639" s="17"/>
      <c r="K639" s="17"/>
    </row>
    <row r="640" spans="5:11" x14ac:dyDescent="0.2">
      <c r="E640" s="10"/>
      <c r="F640" s="53"/>
      <c r="G640" s="9"/>
      <c r="J640" s="17"/>
      <c r="K640" s="17"/>
    </row>
    <row r="641" spans="5:11" x14ac:dyDescent="0.2">
      <c r="E641" s="10"/>
      <c r="F641" s="53"/>
      <c r="G641" s="9"/>
      <c r="J641" s="17"/>
      <c r="K641" s="17"/>
    </row>
    <row r="642" spans="5:11" x14ac:dyDescent="0.2">
      <c r="E642" s="10"/>
      <c r="F642" s="53"/>
      <c r="G642" s="9"/>
      <c r="J642" s="17"/>
      <c r="K642" s="17"/>
    </row>
    <row r="643" spans="5:11" x14ac:dyDescent="0.2">
      <c r="E643" s="10"/>
      <c r="F643" s="53"/>
      <c r="G643" s="9"/>
      <c r="J643" s="17"/>
      <c r="K643" s="17"/>
    </row>
    <row r="644" spans="5:11" x14ac:dyDescent="0.2">
      <c r="E644" s="10"/>
      <c r="F644" s="53"/>
      <c r="G644" s="9"/>
      <c r="J644" s="17"/>
      <c r="K644" s="17"/>
    </row>
    <row r="645" spans="5:11" x14ac:dyDescent="0.2">
      <c r="E645" s="10"/>
      <c r="F645" s="53"/>
      <c r="G645" s="9"/>
      <c r="J645" s="17"/>
      <c r="K645" s="17"/>
    </row>
    <row r="646" spans="5:11" x14ac:dyDescent="0.2">
      <c r="E646" s="10"/>
      <c r="F646" s="53"/>
      <c r="G646" s="9"/>
      <c r="J646" s="17"/>
      <c r="K646" s="17"/>
    </row>
    <row r="647" spans="5:11" x14ac:dyDescent="0.2">
      <c r="E647" s="10"/>
      <c r="F647" s="53"/>
      <c r="G647" s="9"/>
      <c r="J647" s="17"/>
      <c r="K647" s="17"/>
    </row>
    <row r="648" spans="5:11" x14ac:dyDescent="0.2">
      <c r="E648" s="10"/>
      <c r="F648" s="53"/>
      <c r="G648" s="9"/>
      <c r="J648" s="17"/>
      <c r="K648" s="17"/>
    </row>
    <row r="649" spans="5:11" x14ac:dyDescent="0.2">
      <c r="E649" s="10"/>
      <c r="F649" s="53"/>
      <c r="G649" s="9"/>
      <c r="J649" s="17"/>
      <c r="K649" s="17"/>
    </row>
    <row r="650" spans="5:11" x14ac:dyDescent="0.2">
      <c r="E650" s="10"/>
      <c r="F650" s="53"/>
      <c r="G650" s="9"/>
      <c r="J650" s="17"/>
      <c r="K650" s="17"/>
    </row>
    <row r="651" spans="5:11" x14ac:dyDescent="0.2">
      <c r="E651" s="10"/>
      <c r="F651" s="53"/>
      <c r="G651" s="9"/>
      <c r="J651" s="17"/>
      <c r="K651" s="17"/>
    </row>
    <row r="652" spans="5:11" x14ac:dyDescent="0.2">
      <c r="E652" s="10"/>
      <c r="F652" s="53"/>
      <c r="G652" s="9"/>
      <c r="J652" s="17"/>
      <c r="K652" s="17"/>
    </row>
    <row r="653" spans="5:11" x14ac:dyDescent="0.2">
      <c r="E653" s="10"/>
      <c r="F653" s="53"/>
      <c r="G653" s="9"/>
      <c r="J653" s="17"/>
      <c r="K653" s="17"/>
    </row>
    <row r="654" spans="5:11" x14ac:dyDescent="0.2">
      <c r="E654" s="10"/>
      <c r="F654" s="53"/>
      <c r="G654" s="9"/>
      <c r="J654" s="17"/>
      <c r="K654" s="17"/>
    </row>
    <row r="655" spans="5:11" x14ac:dyDescent="0.2">
      <c r="E655" s="10"/>
      <c r="F655" s="53"/>
      <c r="G655" s="9"/>
      <c r="J655" s="17"/>
      <c r="K655" s="17"/>
    </row>
    <row r="656" spans="5:11" x14ac:dyDescent="0.2">
      <c r="E656" s="10"/>
      <c r="F656" s="53"/>
      <c r="G656" s="9"/>
      <c r="J656" s="17"/>
      <c r="K656" s="17"/>
    </row>
    <row r="657" spans="5:11" x14ac:dyDescent="0.2">
      <c r="E657" s="10"/>
      <c r="F657" s="53"/>
      <c r="G657" s="9"/>
      <c r="J657" s="17"/>
      <c r="K657" s="17"/>
    </row>
    <row r="658" spans="5:11" x14ac:dyDescent="0.2">
      <c r="E658" s="10"/>
      <c r="F658" s="53"/>
      <c r="G658" s="9"/>
      <c r="J658" s="17"/>
      <c r="K658" s="17"/>
    </row>
    <row r="659" spans="5:11" x14ac:dyDescent="0.2">
      <c r="E659" s="10"/>
      <c r="F659" s="53"/>
      <c r="G659" s="9"/>
      <c r="J659" s="17"/>
      <c r="K659" s="17"/>
    </row>
    <row r="660" spans="5:11" x14ac:dyDescent="0.2">
      <c r="E660" s="10"/>
      <c r="F660" s="53"/>
      <c r="G660" s="9"/>
      <c r="J660" s="17"/>
      <c r="K660" s="17"/>
    </row>
    <row r="661" spans="5:11" x14ac:dyDescent="0.2">
      <c r="E661" s="10"/>
      <c r="F661" s="53"/>
      <c r="G661" s="9"/>
      <c r="J661" s="17"/>
      <c r="K661" s="17"/>
    </row>
    <row r="662" spans="5:11" x14ac:dyDescent="0.2">
      <c r="E662" s="10"/>
      <c r="F662" s="53"/>
      <c r="G662" s="9"/>
      <c r="J662" s="17"/>
      <c r="K662" s="17"/>
    </row>
    <row r="663" spans="5:11" x14ac:dyDescent="0.2">
      <c r="E663" s="10"/>
      <c r="F663" s="53"/>
      <c r="G663" s="9"/>
      <c r="J663" s="17"/>
      <c r="K663" s="17"/>
    </row>
    <row r="664" spans="5:11" x14ac:dyDescent="0.2">
      <c r="E664" s="10"/>
      <c r="F664" s="53"/>
      <c r="G664" s="9"/>
      <c r="J664" s="17"/>
      <c r="K664" s="17"/>
    </row>
    <row r="665" spans="5:11" x14ac:dyDescent="0.2">
      <c r="J665" s="17"/>
      <c r="K665" s="17"/>
    </row>
    <row r="666" spans="5:11" ht="12.75" x14ac:dyDescent="0.2">
      <c r="E666" s="54"/>
      <c r="F666" s="55"/>
      <c r="G666" s="56">
        <f>SUM(G9:G665)</f>
        <v>0</v>
      </c>
    </row>
  </sheetData>
  <mergeCells count="5">
    <mergeCell ref="I3:K3"/>
    <mergeCell ref="M3:M4"/>
    <mergeCell ref="B3:B4"/>
    <mergeCell ref="C3:C4"/>
    <mergeCell ref="E3:G3"/>
  </mergeCells>
  <dataValidations disablePrompts="1" count="2">
    <dataValidation type="list" allowBlank="1" showInputMessage="1" showErrorMessage="1" sqref="L15:L663 M46:M663 L12:M13 L9:L11 M9:M10" xr:uid="{DB7C38FE-7816-4954-9496-A73564110745}">
      <formula1>Taxes</formula1>
    </dataValidation>
    <dataValidation type="list" allowBlank="1" showInputMessage="1" showErrorMessage="1" sqref="B9:C664" xr:uid="{F0870B4D-ADB9-4BF4-A47C-BFF11059D4C8}">
      <formula1>Compadjust</formula1>
    </dataValidation>
  </dataValidation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B2CAD-C547-474E-9150-BDC54C0D84E0}">
  <dimension ref="A1:N616"/>
  <sheetViews>
    <sheetView showGridLines="0" zoomScale="85" zoomScaleNormal="85" workbookViewId="0">
      <selection activeCell="B10" sqref="B10"/>
    </sheetView>
  </sheetViews>
  <sheetFormatPr defaultColWidth="11.56640625" defaultRowHeight="10.5" x14ac:dyDescent="0.2"/>
  <cols>
    <col min="1" max="1" width="3.62890625" style="17" bestFit="1" customWidth="1"/>
    <col min="2" max="2" width="50.30859375" style="13" customWidth="1"/>
    <col min="3" max="3" width="11.703125" style="13" customWidth="1"/>
    <col min="4" max="4" width="0.94140625" style="13" customWidth="1"/>
    <col min="5" max="5" width="16.6796875" style="13" bestFit="1" customWidth="1"/>
    <col min="6" max="6" width="12.64453125" style="10" customWidth="1"/>
    <col min="7" max="7" width="17.3515625" style="13" bestFit="1" customWidth="1"/>
    <col min="8" max="8" width="0.94140625" style="13" customWidth="1"/>
    <col min="9" max="9" width="16.6796875" style="13" bestFit="1" customWidth="1"/>
    <col min="10" max="10" width="14.125" style="13" customWidth="1"/>
    <col min="11" max="11" width="16.6796875" style="13" bestFit="1" customWidth="1"/>
    <col min="12" max="12" width="0.94140625" style="13" customWidth="1"/>
    <col min="13" max="13" width="16.6796875" style="13" bestFit="1" customWidth="1"/>
    <col min="14" max="14" width="8.609375" style="13" customWidth="1"/>
    <col min="15" max="16384" width="11.56640625" style="13"/>
  </cols>
  <sheetData>
    <row r="1" spans="2:14" ht="46.5" x14ac:dyDescent="0.1">
      <c r="B1" s="12" t="s">
        <v>3380</v>
      </c>
      <c r="C1" s="12"/>
      <c r="E1" s="14" t="s">
        <v>3372</v>
      </c>
      <c r="F1" s="12" t="s">
        <v>3381</v>
      </c>
      <c r="G1" s="15">
        <v>349895870</v>
      </c>
      <c r="J1" s="12" t="s">
        <v>3382</v>
      </c>
      <c r="K1" s="16">
        <v>2021</v>
      </c>
    </row>
    <row r="2" spans="2:14" x14ac:dyDescent="0.2">
      <c r="B2" s="15"/>
      <c r="C2" s="15"/>
      <c r="F2" s="13"/>
      <c r="J2" s="21"/>
      <c r="M2" s="22"/>
    </row>
    <row r="3" spans="2:14" ht="13.5" customHeight="1" x14ac:dyDescent="0.2">
      <c r="B3" s="427" t="s">
        <v>3383</v>
      </c>
      <c r="C3" s="427" t="s">
        <v>3384</v>
      </c>
      <c r="E3" s="425" t="s">
        <v>3385</v>
      </c>
      <c r="F3" s="426"/>
      <c r="G3" s="427"/>
      <c r="I3" s="425" t="s">
        <v>3386</v>
      </c>
      <c r="J3" s="426"/>
      <c r="K3" s="427"/>
      <c r="M3" s="426" t="s">
        <v>3387</v>
      </c>
    </row>
    <row r="4" spans="2:14" ht="11.25" thickBot="1" x14ac:dyDescent="0.25">
      <c r="B4" s="430"/>
      <c r="C4" s="430"/>
      <c r="E4" s="18" t="s">
        <v>3388</v>
      </c>
      <c r="F4" s="19" t="s">
        <v>3389</v>
      </c>
      <c r="G4" s="27" t="s">
        <v>3390</v>
      </c>
      <c r="I4" s="18" t="s">
        <v>3388</v>
      </c>
      <c r="J4" s="19" t="s">
        <v>3389</v>
      </c>
      <c r="K4" s="27" t="s">
        <v>3390</v>
      </c>
      <c r="M4" s="428"/>
    </row>
    <row r="5" spans="2:14" ht="13.5" customHeight="1" x14ac:dyDescent="0.2">
      <c r="B5" s="193" t="s">
        <v>3391</v>
      </c>
      <c r="C5" s="24"/>
      <c r="E5" s="25">
        <f>SUM(E6:E6)</f>
        <v>0</v>
      </c>
      <c r="F5" s="25">
        <f>SUM(F6:F6)</f>
        <v>0</v>
      </c>
      <c r="G5" s="25">
        <f>SUM(G6:G6)</f>
        <v>0</v>
      </c>
      <c r="I5" s="185">
        <f>SUM(I6:I6)</f>
        <v>229807328</v>
      </c>
      <c r="J5" s="185">
        <f>SUM(J6:J6)</f>
        <v>0</v>
      </c>
      <c r="K5" s="185">
        <f>SUM(K6:K6)</f>
        <v>229807328</v>
      </c>
      <c r="L5" s="183"/>
      <c r="M5" s="185">
        <f>SUM(M6:M6)</f>
        <v>-229807328</v>
      </c>
    </row>
    <row r="6" spans="2:14" x14ac:dyDescent="0.2">
      <c r="B6" s="17" t="s">
        <v>3407</v>
      </c>
      <c r="C6" s="17" t="s">
        <v>3408</v>
      </c>
      <c r="E6" s="9">
        <v>0</v>
      </c>
      <c r="F6" s="9">
        <v>0</v>
      </c>
      <c r="G6" s="9">
        <v>0</v>
      </c>
      <c r="I6" s="184">
        <v>229807328</v>
      </c>
      <c r="J6" s="184">
        <v>0</v>
      </c>
      <c r="K6" s="184">
        <v>229807328</v>
      </c>
      <c r="L6" s="183"/>
      <c r="M6" s="184">
        <f t="shared" ref="M6" si="0">G6-K6</f>
        <v>-229807328</v>
      </c>
    </row>
    <row r="7" spans="2:14" x14ac:dyDescent="0.2">
      <c r="B7" s="33" t="s">
        <v>3399</v>
      </c>
      <c r="C7" s="33"/>
      <c r="E7" s="34">
        <f>E5</f>
        <v>0</v>
      </c>
      <c r="F7" s="34">
        <f t="shared" ref="F7:G7" si="1">F5</f>
        <v>0</v>
      </c>
      <c r="G7" s="34">
        <f t="shared" si="1"/>
        <v>0</v>
      </c>
      <c r="H7" s="21"/>
      <c r="I7" s="186">
        <f t="shared" ref="I7:K7" si="2">I5</f>
        <v>229807328</v>
      </c>
      <c r="J7" s="186">
        <f t="shared" si="2"/>
        <v>0</v>
      </c>
      <c r="K7" s="186">
        <f t="shared" si="2"/>
        <v>229807328</v>
      </c>
      <c r="L7" s="187"/>
      <c r="M7" s="186">
        <f t="shared" ref="M7" si="3">M5</f>
        <v>-229807328</v>
      </c>
    </row>
    <row r="8" spans="2:14" x14ac:dyDescent="0.2">
      <c r="B8" s="15"/>
      <c r="C8" s="15"/>
      <c r="F8" s="32"/>
      <c r="G8" s="32"/>
      <c r="I8" s="32"/>
      <c r="J8" s="32"/>
      <c r="K8" s="32"/>
      <c r="M8" s="32"/>
    </row>
    <row r="9" spans="2:14" x14ac:dyDescent="0.1">
      <c r="E9" s="30"/>
      <c r="F9" s="42"/>
      <c r="G9" s="52"/>
      <c r="J9" s="17"/>
      <c r="K9" s="17"/>
      <c r="N9" s="10"/>
    </row>
    <row r="10" spans="2:14" ht="12.75" x14ac:dyDescent="0.1">
      <c r="B10" s="363" t="s">
        <v>3409</v>
      </c>
      <c r="E10" s="30"/>
      <c r="F10" s="42"/>
      <c r="G10" s="52"/>
      <c r="J10" s="17"/>
      <c r="K10" s="17"/>
      <c r="N10" s="10"/>
    </row>
    <row r="11" spans="2:14" x14ac:dyDescent="0.1">
      <c r="E11" s="30"/>
      <c r="F11" s="42"/>
      <c r="G11" s="52"/>
      <c r="J11" s="17"/>
      <c r="K11" s="17"/>
      <c r="N11" s="10"/>
    </row>
    <row r="12" spans="2:14" x14ac:dyDescent="0.1">
      <c r="E12" s="30"/>
      <c r="F12" s="42"/>
      <c r="G12" s="52"/>
      <c r="J12" s="17"/>
      <c r="K12" s="17"/>
      <c r="N12" s="10"/>
    </row>
    <row r="13" spans="2:14" x14ac:dyDescent="0.1">
      <c r="E13" s="30"/>
      <c r="F13" s="42"/>
      <c r="G13" s="52"/>
      <c r="J13" s="17"/>
      <c r="K13" s="17"/>
      <c r="N13" s="10"/>
    </row>
    <row r="14" spans="2:14" x14ac:dyDescent="0.1">
      <c r="E14" s="30"/>
      <c r="F14" s="42"/>
      <c r="G14" s="52"/>
      <c r="J14" s="17"/>
      <c r="K14" s="17"/>
      <c r="N14" s="10"/>
    </row>
    <row r="15" spans="2:14" x14ac:dyDescent="0.1">
      <c r="E15" s="30"/>
      <c r="F15" s="42"/>
      <c r="G15" s="52"/>
      <c r="J15" s="17"/>
      <c r="K15" s="17"/>
      <c r="N15" s="10"/>
    </row>
    <row r="16" spans="2:14" x14ac:dyDescent="0.1">
      <c r="E16" s="30"/>
      <c r="F16" s="42"/>
      <c r="G16" s="52"/>
      <c r="J16" s="17"/>
      <c r="K16" s="17"/>
      <c r="N16" s="10"/>
    </row>
    <row r="17" spans="5:14" x14ac:dyDescent="0.1">
      <c r="E17" s="30"/>
      <c r="F17" s="42"/>
      <c r="G17" s="52"/>
      <c r="J17" s="17"/>
      <c r="K17" s="17"/>
      <c r="N17" s="10"/>
    </row>
    <row r="18" spans="5:14" x14ac:dyDescent="0.1">
      <c r="E18" s="30"/>
      <c r="F18" s="42"/>
      <c r="G18" s="52"/>
      <c r="J18" s="17"/>
      <c r="K18" s="17"/>
      <c r="N18" s="10"/>
    </row>
    <row r="19" spans="5:14" x14ac:dyDescent="0.1">
      <c r="E19" s="30"/>
      <c r="F19" s="42"/>
      <c r="G19" s="52"/>
      <c r="J19" s="17"/>
      <c r="K19" s="17"/>
      <c r="N19" s="10"/>
    </row>
    <row r="20" spans="5:14" x14ac:dyDescent="0.1">
      <c r="E20" s="30"/>
      <c r="F20" s="42"/>
      <c r="G20" s="52"/>
      <c r="J20" s="17"/>
      <c r="K20" s="17"/>
      <c r="N20" s="10"/>
    </row>
    <row r="21" spans="5:14" x14ac:dyDescent="0.1">
      <c r="E21" s="30"/>
      <c r="F21" s="42"/>
      <c r="G21" s="52"/>
      <c r="J21" s="17"/>
      <c r="K21" s="17"/>
      <c r="N21" s="10"/>
    </row>
    <row r="22" spans="5:14" x14ac:dyDescent="0.1">
      <c r="E22" s="30"/>
      <c r="F22" s="42"/>
      <c r="G22" s="52"/>
      <c r="J22" s="17"/>
      <c r="K22" s="17"/>
      <c r="N22" s="10"/>
    </row>
    <row r="23" spans="5:14" x14ac:dyDescent="0.1">
      <c r="E23" s="30"/>
      <c r="F23" s="42"/>
      <c r="G23" s="52"/>
      <c r="J23" s="17"/>
      <c r="K23" s="17"/>
      <c r="N23" s="10"/>
    </row>
    <row r="24" spans="5:14" x14ac:dyDescent="0.1">
      <c r="E24" s="30"/>
      <c r="F24" s="42"/>
      <c r="G24" s="52"/>
      <c r="J24" s="17"/>
      <c r="K24" s="17"/>
      <c r="N24" s="10"/>
    </row>
    <row r="25" spans="5:14" x14ac:dyDescent="0.1">
      <c r="E25" s="30"/>
      <c r="F25" s="42"/>
      <c r="G25" s="52"/>
      <c r="J25" s="17"/>
      <c r="K25" s="17"/>
      <c r="N25" s="10"/>
    </row>
    <row r="26" spans="5:14" x14ac:dyDescent="0.1">
      <c r="E26" s="30"/>
      <c r="F26" s="42"/>
      <c r="G26" s="52"/>
      <c r="J26" s="17"/>
      <c r="K26" s="17"/>
      <c r="N26" s="10"/>
    </row>
    <row r="27" spans="5:14" x14ac:dyDescent="0.1">
      <c r="E27" s="30"/>
      <c r="F27" s="42"/>
      <c r="G27" s="52"/>
      <c r="J27" s="17"/>
      <c r="K27" s="17"/>
      <c r="N27" s="10"/>
    </row>
    <row r="28" spans="5:14" x14ac:dyDescent="0.1">
      <c r="E28" s="30"/>
      <c r="F28" s="42"/>
      <c r="G28" s="52"/>
      <c r="J28" s="17"/>
      <c r="K28" s="17"/>
      <c r="N28" s="10"/>
    </row>
    <row r="29" spans="5:14" x14ac:dyDescent="0.1">
      <c r="E29" s="30"/>
      <c r="F29" s="42"/>
      <c r="G29" s="52"/>
      <c r="J29" s="17"/>
      <c r="K29" s="17"/>
      <c r="N29" s="10"/>
    </row>
    <row r="30" spans="5:14" x14ac:dyDescent="0.1">
      <c r="E30" s="30"/>
      <c r="F30" s="42"/>
      <c r="G30" s="52"/>
      <c r="J30" s="17"/>
      <c r="K30" s="17"/>
      <c r="N30" s="10"/>
    </row>
    <row r="31" spans="5:14" x14ac:dyDescent="0.1">
      <c r="E31" s="30"/>
      <c r="F31" s="42"/>
      <c r="G31" s="52"/>
      <c r="J31" s="17"/>
      <c r="K31" s="17"/>
      <c r="N31" s="10"/>
    </row>
    <row r="32" spans="5:14" x14ac:dyDescent="0.1">
      <c r="E32" s="30"/>
      <c r="F32" s="42"/>
      <c r="G32" s="52"/>
      <c r="J32" s="17"/>
      <c r="K32" s="17"/>
      <c r="N32" s="10"/>
    </row>
    <row r="33" spans="5:14" x14ac:dyDescent="0.1">
      <c r="E33" s="30"/>
      <c r="F33" s="42"/>
      <c r="G33" s="52"/>
      <c r="J33" s="17"/>
      <c r="K33" s="17"/>
      <c r="N33" s="10"/>
    </row>
    <row r="34" spans="5:14" x14ac:dyDescent="0.1">
      <c r="E34" s="30"/>
      <c r="F34" s="42"/>
      <c r="G34" s="52"/>
      <c r="J34" s="17"/>
      <c r="K34" s="17"/>
      <c r="N34" s="10"/>
    </row>
    <row r="35" spans="5:14" x14ac:dyDescent="0.1">
      <c r="E35" s="30"/>
      <c r="F35" s="42"/>
      <c r="G35" s="52"/>
      <c r="J35" s="17"/>
      <c r="K35" s="17"/>
      <c r="N35" s="10"/>
    </row>
    <row r="36" spans="5:14" x14ac:dyDescent="0.1">
      <c r="E36" s="30"/>
      <c r="F36" s="42"/>
      <c r="G36" s="52"/>
      <c r="J36" s="17"/>
      <c r="K36" s="17"/>
      <c r="N36" s="10"/>
    </row>
    <row r="37" spans="5:14" x14ac:dyDescent="0.1">
      <c r="E37" s="30"/>
      <c r="F37" s="42"/>
      <c r="G37" s="52"/>
      <c r="J37" s="17"/>
      <c r="K37" s="17"/>
      <c r="N37" s="10"/>
    </row>
    <row r="38" spans="5:14" x14ac:dyDescent="0.1">
      <c r="E38" s="30"/>
      <c r="F38" s="42"/>
      <c r="G38" s="52"/>
      <c r="J38" s="17"/>
      <c r="K38" s="17"/>
      <c r="N38" s="10"/>
    </row>
    <row r="39" spans="5:14" x14ac:dyDescent="0.1">
      <c r="E39" s="30"/>
      <c r="F39" s="42"/>
      <c r="G39" s="52"/>
      <c r="J39" s="17"/>
      <c r="K39" s="17"/>
      <c r="N39" s="10"/>
    </row>
    <row r="40" spans="5:14" x14ac:dyDescent="0.1">
      <c r="E40" s="30"/>
      <c r="F40" s="42"/>
      <c r="G40" s="52"/>
      <c r="J40" s="17"/>
      <c r="K40" s="17"/>
      <c r="N40" s="10"/>
    </row>
    <row r="41" spans="5:14" x14ac:dyDescent="0.1">
      <c r="E41" s="30"/>
      <c r="F41" s="42"/>
      <c r="G41" s="52"/>
      <c r="J41" s="17"/>
      <c r="K41" s="17"/>
      <c r="N41" s="10"/>
    </row>
    <row r="42" spans="5:14" x14ac:dyDescent="0.1">
      <c r="E42" s="30"/>
      <c r="F42" s="42"/>
      <c r="G42" s="52"/>
      <c r="J42" s="17"/>
      <c r="K42" s="17"/>
      <c r="N42" s="10"/>
    </row>
    <row r="43" spans="5:14" x14ac:dyDescent="0.1">
      <c r="E43" s="30"/>
      <c r="F43" s="42"/>
      <c r="G43" s="52"/>
      <c r="J43" s="17"/>
      <c r="K43" s="17"/>
      <c r="N43" s="10"/>
    </row>
    <row r="44" spans="5:14" x14ac:dyDescent="0.1">
      <c r="E44" s="30"/>
      <c r="F44" s="42"/>
      <c r="G44" s="52"/>
      <c r="J44" s="17"/>
      <c r="K44" s="17"/>
      <c r="N44" s="10"/>
    </row>
    <row r="45" spans="5:14" x14ac:dyDescent="0.1">
      <c r="E45" s="30"/>
      <c r="F45" s="42"/>
      <c r="G45" s="52"/>
      <c r="J45" s="17"/>
      <c r="K45" s="17"/>
      <c r="N45" s="10"/>
    </row>
    <row r="46" spans="5:14" x14ac:dyDescent="0.1">
      <c r="E46" s="30"/>
      <c r="F46" s="42"/>
      <c r="G46" s="52"/>
      <c r="J46" s="17"/>
      <c r="K46" s="17"/>
      <c r="N46" s="10"/>
    </row>
    <row r="47" spans="5:14" x14ac:dyDescent="0.1">
      <c r="E47" s="30"/>
      <c r="F47" s="42"/>
      <c r="G47" s="52"/>
      <c r="J47" s="17"/>
      <c r="K47" s="17"/>
      <c r="N47" s="10"/>
    </row>
    <row r="48" spans="5:14" x14ac:dyDescent="0.1">
      <c r="E48" s="30"/>
      <c r="F48" s="42"/>
      <c r="G48" s="52"/>
      <c r="J48" s="17"/>
      <c r="K48" s="17"/>
      <c r="N48" s="10"/>
    </row>
    <row r="49" spans="5:14" x14ac:dyDescent="0.1">
      <c r="E49" s="30"/>
      <c r="F49" s="42"/>
      <c r="G49" s="52"/>
      <c r="J49" s="17"/>
      <c r="K49" s="17"/>
      <c r="N49" s="10"/>
    </row>
    <row r="50" spans="5:14" x14ac:dyDescent="0.1">
      <c r="E50" s="30"/>
      <c r="F50" s="42"/>
      <c r="G50" s="52"/>
      <c r="J50" s="17"/>
      <c r="K50" s="17"/>
      <c r="N50" s="10"/>
    </row>
    <row r="51" spans="5:14" x14ac:dyDescent="0.1">
      <c r="E51" s="30"/>
      <c r="F51" s="42"/>
      <c r="G51" s="52"/>
      <c r="J51" s="17"/>
      <c r="K51" s="17"/>
      <c r="N51" s="10"/>
    </row>
    <row r="52" spans="5:14" x14ac:dyDescent="0.2">
      <c r="E52" s="10"/>
      <c r="F52" s="53"/>
      <c r="G52" s="35"/>
      <c r="J52" s="17"/>
      <c r="K52" s="17"/>
      <c r="N52" s="10"/>
    </row>
    <row r="53" spans="5:14" x14ac:dyDescent="0.2">
      <c r="E53" s="10"/>
      <c r="F53" s="53"/>
      <c r="G53" s="35"/>
      <c r="J53" s="17"/>
      <c r="K53" s="17"/>
      <c r="N53" s="10"/>
    </row>
    <row r="54" spans="5:14" x14ac:dyDescent="0.2">
      <c r="E54" s="10"/>
      <c r="F54" s="53"/>
      <c r="G54" s="35"/>
      <c r="J54" s="17"/>
      <c r="K54" s="17"/>
      <c r="N54" s="10"/>
    </row>
    <row r="55" spans="5:14" x14ac:dyDescent="0.2">
      <c r="E55" s="10"/>
      <c r="F55" s="53"/>
      <c r="G55" s="35"/>
      <c r="J55" s="17"/>
      <c r="K55" s="17"/>
      <c r="N55" s="10"/>
    </row>
    <row r="56" spans="5:14" x14ac:dyDescent="0.2">
      <c r="E56" s="10"/>
      <c r="F56" s="53"/>
      <c r="G56" s="35"/>
      <c r="J56" s="17"/>
      <c r="K56" s="17"/>
      <c r="N56" s="10"/>
    </row>
    <row r="57" spans="5:14" x14ac:dyDescent="0.2">
      <c r="E57" s="10"/>
      <c r="F57" s="53"/>
      <c r="G57" s="35"/>
      <c r="J57" s="17"/>
      <c r="K57" s="17"/>
      <c r="N57" s="10"/>
    </row>
    <row r="58" spans="5:14" x14ac:dyDescent="0.2">
      <c r="E58" s="10"/>
      <c r="F58" s="53"/>
      <c r="G58" s="35"/>
      <c r="J58" s="17"/>
      <c r="K58" s="17"/>
      <c r="N58" s="10"/>
    </row>
    <row r="59" spans="5:14" x14ac:dyDescent="0.2">
      <c r="E59" s="10"/>
      <c r="F59" s="53"/>
      <c r="G59" s="35"/>
      <c r="J59" s="17"/>
      <c r="K59" s="17"/>
      <c r="N59" s="10"/>
    </row>
    <row r="60" spans="5:14" x14ac:dyDescent="0.2">
      <c r="E60" s="10"/>
      <c r="F60" s="53"/>
      <c r="G60" s="35"/>
      <c r="J60" s="17"/>
      <c r="K60" s="17"/>
      <c r="N60" s="10"/>
    </row>
    <row r="61" spans="5:14" x14ac:dyDescent="0.2">
      <c r="E61" s="10"/>
      <c r="F61" s="53"/>
      <c r="G61" s="35"/>
      <c r="J61" s="17"/>
      <c r="K61" s="17"/>
      <c r="N61" s="10"/>
    </row>
    <row r="62" spans="5:14" x14ac:dyDescent="0.2">
      <c r="E62" s="10"/>
      <c r="F62" s="53"/>
      <c r="G62" s="35"/>
      <c r="J62" s="17"/>
      <c r="K62" s="17"/>
      <c r="N62" s="10"/>
    </row>
    <row r="63" spans="5:14" x14ac:dyDescent="0.2">
      <c r="E63" s="10"/>
      <c r="F63" s="53"/>
      <c r="G63" s="35"/>
      <c r="J63" s="17"/>
      <c r="K63" s="17"/>
      <c r="N63" s="10"/>
    </row>
    <row r="64" spans="5:14" x14ac:dyDescent="0.2">
      <c r="E64" s="10"/>
      <c r="F64" s="53"/>
      <c r="G64" s="35"/>
      <c r="J64" s="17"/>
      <c r="K64" s="17"/>
      <c r="N64" s="10"/>
    </row>
    <row r="65" spans="5:14" x14ac:dyDescent="0.2">
      <c r="E65" s="10"/>
      <c r="F65" s="53"/>
      <c r="G65" s="35"/>
      <c r="J65" s="17"/>
      <c r="K65" s="17"/>
      <c r="N65" s="10"/>
    </row>
    <row r="66" spans="5:14" x14ac:dyDescent="0.2">
      <c r="E66" s="10"/>
      <c r="F66" s="53"/>
      <c r="G66" s="35"/>
      <c r="J66" s="17"/>
      <c r="K66" s="17"/>
      <c r="N66" s="10"/>
    </row>
    <row r="67" spans="5:14" x14ac:dyDescent="0.2">
      <c r="E67" s="10"/>
      <c r="F67" s="53"/>
      <c r="G67" s="35"/>
      <c r="J67" s="17"/>
      <c r="K67" s="17"/>
      <c r="N67" s="10"/>
    </row>
    <row r="68" spans="5:14" x14ac:dyDescent="0.2">
      <c r="E68" s="10"/>
      <c r="F68" s="53"/>
      <c r="G68" s="35"/>
      <c r="J68" s="17"/>
      <c r="K68" s="17"/>
      <c r="N68" s="10"/>
    </row>
    <row r="69" spans="5:14" x14ac:dyDescent="0.2">
      <c r="E69" s="10"/>
      <c r="F69" s="53"/>
      <c r="G69" s="35"/>
      <c r="J69" s="17"/>
      <c r="K69" s="17"/>
      <c r="N69" s="10"/>
    </row>
    <row r="70" spans="5:14" x14ac:dyDescent="0.2">
      <c r="E70" s="10"/>
      <c r="F70" s="53"/>
      <c r="G70" s="35"/>
      <c r="J70" s="17"/>
      <c r="K70" s="17"/>
      <c r="N70" s="10"/>
    </row>
    <row r="71" spans="5:14" x14ac:dyDescent="0.2">
      <c r="E71" s="10"/>
      <c r="F71" s="53"/>
      <c r="G71" s="35"/>
      <c r="J71" s="17"/>
      <c r="K71" s="17"/>
      <c r="N71" s="10"/>
    </row>
    <row r="72" spans="5:14" x14ac:dyDescent="0.2">
      <c r="E72" s="10"/>
      <c r="F72" s="53"/>
      <c r="G72" s="35"/>
      <c r="J72" s="17"/>
      <c r="K72" s="17"/>
      <c r="N72" s="10"/>
    </row>
    <row r="73" spans="5:14" x14ac:dyDescent="0.2">
      <c r="E73" s="10"/>
      <c r="F73" s="53"/>
      <c r="G73" s="35"/>
      <c r="J73" s="17"/>
      <c r="K73" s="17"/>
      <c r="N73" s="10"/>
    </row>
    <row r="74" spans="5:14" x14ac:dyDescent="0.2">
      <c r="E74" s="10"/>
      <c r="F74" s="53"/>
      <c r="G74" s="35"/>
      <c r="J74" s="17"/>
      <c r="K74" s="17"/>
      <c r="N74" s="10"/>
    </row>
    <row r="75" spans="5:14" x14ac:dyDescent="0.2">
      <c r="E75" s="10"/>
      <c r="F75" s="53"/>
      <c r="G75" s="35"/>
      <c r="J75" s="17"/>
      <c r="K75" s="17"/>
      <c r="N75" s="10"/>
    </row>
    <row r="76" spans="5:14" x14ac:dyDescent="0.2">
      <c r="E76" s="10"/>
      <c r="F76" s="53"/>
      <c r="G76" s="35"/>
      <c r="J76" s="17"/>
      <c r="K76" s="17"/>
      <c r="N76" s="10"/>
    </row>
    <row r="77" spans="5:14" x14ac:dyDescent="0.2">
      <c r="E77" s="10"/>
      <c r="F77" s="53"/>
      <c r="G77" s="35"/>
      <c r="J77" s="17"/>
      <c r="K77" s="17"/>
      <c r="N77" s="10"/>
    </row>
    <row r="78" spans="5:14" x14ac:dyDescent="0.2">
      <c r="E78" s="10"/>
      <c r="F78" s="53"/>
      <c r="G78" s="35"/>
      <c r="J78" s="17"/>
      <c r="K78" s="17"/>
      <c r="N78" s="10"/>
    </row>
    <row r="79" spans="5:14" x14ac:dyDescent="0.2">
      <c r="E79" s="10"/>
      <c r="F79" s="53"/>
      <c r="G79" s="35"/>
      <c r="J79" s="17"/>
      <c r="K79" s="17"/>
      <c r="N79" s="10"/>
    </row>
    <row r="80" spans="5:14" x14ac:dyDescent="0.2">
      <c r="E80" s="10"/>
      <c r="F80" s="53"/>
      <c r="G80" s="35"/>
      <c r="J80" s="17"/>
      <c r="K80" s="17"/>
      <c r="N80" s="10"/>
    </row>
    <row r="81" spans="5:14" x14ac:dyDescent="0.2">
      <c r="E81" s="10"/>
      <c r="F81" s="53"/>
      <c r="G81" s="35"/>
      <c r="J81" s="17"/>
      <c r="K81" s="17"/>
      <c r="N81" s="10"/>
    </row>
    <row r="82" spans="5:14" x14ac:dyDescent="0.2">
      <c r="E82" s="10"/>
      <c r="F82" s="53"/>
      <c r="G82" s="35"/>
      <c r="J82" s="17"/>
      <c r="K82" s="17"/>
      <c r="N82" s="10"/>
    </row>
    <row r="83" spans="5:14" x14ac:dyDescent="0.2">
      <c r="E83" s="10"/>
      <c r="F83" s="53"/>
      <c r="G83" s="35"/>
      <c r="J83" s="17"/>
      <c r="K83" s="17"/>
      <c r="N83" s="10"/>
    </row>
    <row r="84" spans="5:14" x14ac:dyDescent="0.2">
      <c r="E84" s="10"/>
      <c r="F84" s="53"/>
      <c r="G84" s="35"/>
      <c r="J84" s="17"/>
      <c r="K84" s="17"/>
      <c r="N84" s="10"/>
    </row>
    <row r="85" spans="5:14" x14ac:dyDescent="0.2">
      <c r="E85" s="10"/>
      <c r="F85" s="53"/>
      <c r="G85" s="35"/>
      <c r="J85" s="17"/>
      <c r="K85" s="17"/>
      <c r="N85" s="10"/>
    </row>
    <row r="86" spans="5:14" x14ac:dyDescent="0.2">
      <c r="E86" s="10"/>
      <c r="F86" s="53"/>
      <c r="G86" s="35"/>
      <c r="J86" s="17"/>
      <c r="K86" s="17"/>
      <c r="N86" s="10"/>
    </row>
    <row r="87" spans="5:14" x14ac:dyDescent="0.2">
      <c r="E87" s="10"/>
      <c r="F87" s="53"/>
      <c r="G87" s="35"/>
      <c r="J87" s="17"/>
      <c r="K87" s="17"/>
      <c r="N87" s="10"/>
    </row>
    <row r="88" spans="5:14" x14ac:dyDescent="0.2">
      <c r="E88" s="10"/>
      <c r="F88" s="53"/>
      <c r="G88" s="35"/>
      <c r="J88" s="17"/>
      <c r="K88" s="17"/>
      <c r="N88" s="10"/>
    </row>
    <row r="89" spans="5:14" x14ac:dyDescent="0.2">
      <c r="E89" s="10"/>
      <c r="F89" s="53"/>
      <c r="G89" s="35"/>
      <c r="J89" s="17"/>
      <c r="K89" s="17"/>
      <c r="N89" s="10"/>
    </row>
    <row r="90" spans="5:14" x14ac:dyDescent="0.2">
      <c r="E90" s="10"/>
      <c r="F90" s="53"/>
      <c r="G90" s="35"/>
      <c r="J90" s="17"/>
      <c r="K90" s="17"/>
      <c r="N90" s="10"/>
    </row>
    <row r="91" spans="5:14" x14ac:dyDescent="0.2">
      <c r="E91" s="10"/>
      <c r="F91" s="53"/>
      <c r="G91" s="35"/>
      <c r="J91" s="17"/>
      <c r="K91" s="17"/>
      <c r="N91" s="10"/>
    </row>
    <row r="92" spans="5:14" x14ac:dyDescent="0.2">
      <c r="E92" s="45"/>
      <c r="F92" s="53"/>
      <c r="G92" s="35"/>
      <c r="J92" s="17"/>
      <c r="K92" s="17"/>
      <c r="N92" s="10"/>
    </row>
    <row r="93" spans="5:14" x14ac:dyDescent="0.2">
      <c r="E93" s="45"/>
      <c r="F93" s="53"/>
      <c r="G93" s="35"/>
      <c r="J93" s="17"/>
      <c r="K93" s="17"/>
      <c r="N93" s="10"/>
    </row>
    <row r="94" spans="5:14" x14ac:dyDescent="0.2">
      <c r="E94" s="10"/>
      <c r="F94" s="53"/>
      <c r="G94" s="35"/>
      <c r="J94" s="17"/>
      <c r="K94" s="17"/>
      <c r="N94" s="10"/>
    </row>
    <row r="95" spans="5:14" x14ac:dyDescent="0.2">
      <c r="E95" s="10"/>
      <c r="F95" s="53"/>
      <c r="G95" s="35"/>
      <c r="J95" s="17"/>
      <c r="K95" s="17"/>
      <c r="N95" s="10"/>
    </row>
    <row r="96" spans="5:14" x14ac:dyDescent="0.2">
      <c r="E96" s="10"/>
      <c r="F96" s="53"/>
      <c r="G96" s="35"/>
      <c r="J96" s="17"/>
      <c r="K96" s="17"/>
      <c r="N96" s="10"/>
    </row>
    <row r="97" spans="5:14" x14ac:dyDescent="0.2">
      <c r="E97" s="10"/>
      <c r="F97" s="53"/>
      <c r="G97" s="35"/>
      <c r="J97" s="17"/>
      <c r="K97" s="17"/>
      <c r="N97" s="10"/>
    </row>
    <row r="98" spans="5:14" x14ac:dyDescent="0.2">
      <c r="E98" s="10"/>
      <c r="F98" s="53"/>
      <c r="G98" s="35"/>
      <c r="J98" s="17"/>
      <c r="K98" s="17"/>
      <c r="N98" s="10"/>
    </row>
    <row r="99" spans="5:14" x14ac:dyDescent="0.2">
      <c r="E99" s="10"/>
      <c r="F99" s="53"/>
      <c r="G99" s="35"/>
      <c r="J99" s="17"/>
      <c r="K99" s="17"/>
      <c r="N99" s="10"/>
    </row>
    <row r="100" spans="5:14" x14ac:dyDescent="0.2">
      <c r="E100" s="10"/>
      <c r="F100" s="53"/>
      <c r="G100" s="35"/>
      <c r="J100" s="17"/>
      <c r="K100" s="17"/>
      <c r="N100" s="10"/>
    </row>
    <row r="101" spans="5:14" x14ac:dyDescent="0.2">
      <c r="E101" s="10"/>
      <c r="F101" s="53"/>
      <c r="G101" s="35"/>
      <c r="J101" s="17"/>
      <c r="K101" s="17"/>
      <c r="N101" s="10"/>
    </row>
    <row r="102" spans="5:14" x14ac:dyDescent="0.2">
      <c r="E102" s="10"/>
      <c r="F102" s="53"/>
      <c r="G102" s="35"/>
      <c r="J102" s="17"/>
      <c r="K102" s="17"/>
      <c r="N102" s="10"/>
    </row>
    <row r="103" spans="5:14" x14ac:dyDescent="0.2">
      <c r="E103" s="10"/>
      <c r="F103" s="53"/>
      <c r="G103" s="35"/>
      <c r="J103" s="17"/>
      <c r="K103" s="17"/>
      <c r="N103" s="10"/>
    </row>
    <row r="104" spans="5:14" x14ac:dyDescent="0.2">
      <c r="E104" s="10"/>
      <c r="F104" s="53"/>
      <c r="G104" s="9"/>
      <c r="J104" s="17"/>
      <c r="K104" s="17"/>
      <c r="N104" s="10"/>
    </row>
    <row r="105" spans="5:14" x14ac:dyDescent="0.2">
      <c r="E105" s="10"/>
      <c r="F105" s="53"/>
      <c r="G105" s="9"/>
      <c r="J105" s="17"/>
      <c r="K105" s="17"/>
      <c r="N105" s="10"/>
    </row>
    <row r="106" spans="5:14" x14ac:dyDescent="0.2">
      <c r="E106" s="10"/>
      <c r="F106" s="53"/>
      <c r="G106" s="9"/>
      <c r="J106" s="17"/>
      <c r="K106" s="17"/>
      <c r="N106" s="10"/>
    </row>
    <row r="107" spans="5:14" x14ac:dyDescent="0.2">
      <c r="E107" s="10"/>
      <c r="F107" s="53"/>
      <c r="G107" s="9"/>
      <c r="J107" s="17"/>
      <c r="K107" s="17"/>
      <c r="N107" s="10"/>
    </row>
    <row r="108" spans="5:14" x14ac:dyDescent="0.2">
      <c r="E108" s="10"/>
      <c r="F108" s="53"/>
      <c r="G108" s="9"/>
      <c r="J108" s="17"/>
      <c r="K108" s="17"/>
      <c r="N108" s="10"/>
    </row>
    <row r="109" spans="5:14" x14ac:dyDescent="0.2">
      <c r="E109" s="10"/>
      <c r="F109" s="53"/>
      <c r="G109" s="9"/>
      <c r="J109" s="17"/>
      <c r="K109" s="17"/>
      <c r="N109" s="10"/>
    </row>
    <row r="110" spans="5:14" x14ac:dyDescent="0.2">
      <c r="E110" s="10"/>
      <c r="F110" s="53"/>
      <c r="G110" s="9"/>
      <c r="J110" s="17"/>
      <c r="K110" s="17"/>
      <c r="N110" s="10"/>
    </row>
    <row r="111" spans="5:14" x14ac:dyDescent="0.2">
      <c r="E111" s="10"/>
      <c r="F111" s="53"/>
      <c r="G111" s="9"/>
      <c r="J111" s="17"/>
      <c r="K111" s="17"/>
      <c r="N111" s="10"/>
    </row>
    <row r="112" spans="5:14" x14ac:dyDescent="0.2">
      <c r="E112" s="10"/>
      <c r="F112" s="53"/>
      <c r="G112" s="9"/>
      <c r="J112" s="17"/>
      <c r="K112" s="17"/>
      <c r="N112" s="10"/>
    </row>
    <row r="113" spans="5:14" x14ac:dyDescent="0.2">
      <c r="E113" s="10"/>
      <c r="F113" s="53"/>
      <c r="G113" s="9"/>
      <c r="J113" s="17"/>
      <c r="K113" s="17"/>
      <c r="N113" s="10"/>
    </row>
    <row r="114" spans="5:14" x14ac:dyDescent="0.2">
      <c r="E114" s="10"/>
      <c r="F114" s="53"/>
      <c r="G114" s="9"/>
      <c r="J114" s="17"/>
      <c r="K114" s="17"/>
      <c r="N114" s="10"/>
    </row>
    <row r="115" spans="5:14" x14ac:dyDescent="0.2">
      <c r="E115" s="10"/>
      <c r="F115" s="53"/>
      <c r="G115" s="9"/>
      <c r="J115" s="17"/>
      <c r="K115" s="17"/>
      <c r="N115" s="10"/>
    </row>
    <row r="116" spans="5:14" x14ac:dyDescent="0.2">
      <c r="E116" s="10"/>
      <c r="F116" s="53"/>
      <c r="G116" s="9"/>
      <c r="J116" s="17"/>
      <c r="K116" s="17"/>
      <c r="N116" s="10"/>
    </row>
    <row r="117" spans="5:14" x14ac:dyDescent="0.2">
      <c r="E117" s="10"/>
      <c r="F117" s="53"/>
      <c r="G117" s="9"/>
      <c r="J117" s="17"/>
      <c r="K117" s="17"/>
      <c r="N117" s="10"/>
    </row>
    <row r="118" spans="5:14" x14ac:dyDescent="0.2">
      <c r="E118" s="10"/>
      <c r="F118" s="53"/>
      <c r="G118" s="9"/>
      <c r="J118" s="17"/>
      <c r="K118" s="17"/>
      <c r="N118" s="10"/>
    </row>
    <row r="119" spans="5:14" x14ac:dyDescent="0.2">
      <c r="E119" s="10"/>
      <c r="F119" s="53"/>
      <c r="G119" s="9"/>
      <c r="J119" s="17"/>
      <c r="K119" s="17"/>
      <c r="N119" s="10"/>
    </row>
    <row r="120" spans="5:14" x14ac:dyDescent="0.2">
      <c r="E120" s="10"/>
      <c r="F120" s="53"/>
      <c r="G120" s="9"/>
      <c r="J120" s="17"/>
      <c r="K120" s="17"/>
      <c r="N120" s="10"/>
    </row>
    <row r="121" spans="5:14" x14ac:dyDescent="0.2">
      <c r="E121" s="10"/>
      <c r="F121" s="53"/>
      <c r="G121" s="9"/>
      <c r="J121" s="17"/>
      <c r="K121" s="17"/>
      <c r="N121" s="10"/>
    </row>
    <row r="122" spans="5:14" x14ac:dyDescent="0.2">
      <c r="E122" s="10"/>
      <c r="F122" s="53"/>
      <c r="G122" s="9"/>
      <c r="J122" s="17"/>
      <c r="K122" s="17"/>
      <c r="N122" s="10"/>
    </row>
    <row r="123" spans="5:14" x14ac:dyDescent="0.2">
      <c r="E123" s="10"/>
      <c r="F123" s="53"/>
      <c r="G123" s="9"/>
      <c r="J123" s="17"/>
      <c r="K123" s="17"/>
      <c r="N123" s="10"/>
    </row>
    <row r="124" spans="5:14" x14ac:dyDescent="0.2">
      <c r="E124" s="10"/>
      <c r="F124" s="53"/>
      <c r="G124" s="9"/>
      <c r="J124" s="17"/>
      <c r="K124" s="17"/>
      <c r="N124" s="10"/>
    </row>
    <row r="125" spans="5:14" x14ac:dyDescent="0.2">
      <c r="E125" s="10"/>
      <c r="F125" s="53"/>
      <c r="G125" s="9"/>
      <c r="J125" s="17"/>
      <c r="K125" s="17"/>
      <c r="N125" s="10"/>
    </row>
    <row r="126" spans="5:14" x14ac:dyDescent="0.2">
      <c r="E126" s="10"/>
      <c r="F126" s="53"/>
      <c r="G126" s="9"/>
      <c r="J126" s="17"/>
      <c r="K126" s="17"/>
      <c r="N126" s="10"/>
    </row>
    <row r="127" spans="5:14" x14ac:dyDescent="0.2">
      <c r="E127" s="10"/>
      <c r="F127" s="53"/>
      <c r="G127" s="9"/>
      <c r="J127" s="17"/>
      <c r="K127" s="17"/>
      <c r="N127" s="10"/>
    </row>
    <row r="128" spans="5:14" x14ac:dyDescent="0.2">
      <c r="E128" s="10"/>
      <c r="F128" s="53"/>
      <c r="G128" s="9"/>
      <c r="J128" s="17"/>
      <c r="K128" s="17"/>
      <c r="N128" s="10"/>
    </row>
    <row r="129" spans="5:14" x14ac:dyDescent="0.2">
      <c r="E129" s="10"/>
      <c r="F129" s="53"/>
      <c r="G129" s="9"/>
      <c r="J129" s="17"/>
      <c r="K129" s="17"/>
      <c r="N129" s="10"/>
    </row>
    <row r="130" spans="5:14" x14ac:dyDescent="0.2">
      <c r="E130" s="10"/>
      <c r="F130" s="53"/>
      <c r="G130" s="9"/>
      <c r="J130" s="17"/>
      <c r="K130" s="17"/>
      <c r="N130" s="10"/>
    </row>
    <row r="131" spans="5:14" x14ac:dyDescent="0.2">
      <c r="E131" s="10"/>
      <c r="F131" s="53"/>
      <c r="G131" s="9"/>
      <c r="J131" s="17"/>
      <c r="K131" s="17"/>
      <c r="N131" s="10"/>
    </row>
    <row r="132" spans="5:14" x14ac:dyDescent="0.2">
      <c r="E132" s="10"/>
      <c r="F132" s="53"/>
      <c r="G132" s="9"/>
      <c r="J132" s="17"/>
      <c r="K132" s="17"/>
      <c r="N132" s="10"/>
    </row>
    <row r="133" spans="5:14" x14ac:dyDescent="0.2">
      <c r="E133" s="10"/>
      <c r="F133" s="53"/>
      <c r="G133" s="9"/>
      <c r="J133" s="17"/>
      <c r="K133" s="17"/>
      <c r="N133" s="10"/>
    </row>
    <row r="134" spans="5:14" x14ac:dyDescent="0.2">
      <c r="E134" s="10"/>
      <c r="F134" s="53"/>
      <c r="G134" s="9"/>
      <c r="J134" s="17"/>
      <c r="K134" s="17"/>
      <c r="N134" s="10"/>
    </row>
    <row r="135" spans="5:14" x14ac:dyDescent="0.2">
      <c r="E135" s="10"/>
      <c r="F135" s="53"/>
      <c r="G135" s="9"/>
      <c r="J135" s="17"/>
      <c r="K135" s="17"/>
      <c r="N135" s="10"/>
    </row>
    <row r="136" spans="5:14" x14ac:dyDescent="0.2">
      <c r="E136" s="10"/>
      <c r="F136" s="53"/>
      <c r="G136" s="9"/>
      <c r="J136" s="17"/>
      <c r="K136" s="17"/>
      <c r="N136" s="10"/>
    </row>
    <row r="137" spans="5:14" x14ac:dyDescent="0.2">
      <c r="E137" s="10"/>
      <c r="F137" s="53"/>
      <c r="G137" s="9"/>
      <c r="J137" s="17"/>
      <c r="K137" s="17"/>
      <c r="N137" s="10"/>
    </row>
    <row r="138" spans="5:14" x14ac:dyDescent="0.2">
      <c r="E138" s="10"/>
      <c r="F138" s="53"/>
      <c r="G138" s="9"/>
      <c r="J138" s="17"/>
      <c r="K138" s="17"/>
      <c r="N138" s="10"/>
    </row>
    <row r="139" spans="5:14" x14ac:dyDescent="0.2">
      <c r="E139" s="10"/>
      <c r="F139" s="53"/>
      <c r="G139" s="9"/>
      <c r="J139" s="17"/>
      <c r="K139" s="17"/>
      <c r="N139" s="10"/>
    </row>
    <row r="140" spans="5:14" x14ac:dyDescent="0.2">
      <c r="E140" s="10"/>
      <c r="F140" s="53"/>
      <c r="G140" s="9"/>
      <c r="J140" s="17"/>
      <c r="K140" s="17"/>
      <c r="N140" s="10"/>
    </row>
    <row r="141" spans="5:14" x14ac:dyDescent="0.2">
      <c r="E141" s="10"/>
      <c r="F141" s="53"/>
      <c r="G141" s="9"/>
      <c r="J141" s="17"/>
      <c r="K141" s="17"/>
      <c r="N141" s="10"/>
    </row>
    <row r="142" spans="5:14" x14ac:dyDescent="0.2">
      <c r="E142" s="10"/>
      <c r="F142" s="53"/>
      <c r="G142" s="9"/>
      <c r="J142" s="17"/>
      <c r="K142" s="17"/>
      <c r="N142" s="10"/>
    </row>
    <row r="143" spans="5:14" x14ac:dyDescent="0.2">
      <c r="E143" s="10"/>
      <c r="F143" s="53"/>
      <c r="G143" s="9"/>
      <c r="J143" s="17"/>
      <c r="K143" s="17"/>
      <c r="N143" s="10"/>
    </row>
    <row r="144" spans="5:14" x14ac:dyDescent="0.2">
      <c r="E144" s="10"/>
      <c r="F144" s="53"/>
      <c r="G144" s="9"/>
      <c r="J144" s="17"/>
      <c r="K144" s="17"/>
      <c r="N144" s="10"/>
    </row>
    <row r="145" spans="5:14" x14ac:dyDescent="0.2">
      <c r="E145" s="10"/>
      <c r="F145" s="53"/>
      <c r="G145" s="9"/>
      <c r="J145" s="17"/>
      <c r="K145" s="17"/>
      <c r="N145" s="10"/>
    </row>
    <row r="146" spans="5:14" x14ac:dyDescent="0.2">
      <c r="E146" s="10"/>
      <c r="F146" s="53"/>
      <c r="G146" s="9"/>
      <c r="J146" s="17"/>
      <c r="K146" s="17"/>
      <c r="N146" s="10"/>
    </row>
    <row r="147" spans="5:14" x14ac:dyDescent="0.2">
      <c r="E147" s="10"/>
      <c r="F147" s="53"/>
      <c r="G147" s="9"/>
      <c r="J147" s="17"/>
      <c r="K147" s="17"/>
      <c r="N147" s="10"/>
    </row>
    <row r="148" spans="5:14" x14ac:dyDescent="0.2">
      <c r="E148" s="10"/>
      <c r="F148" s="53"/>
      <c r="G148" s="9"/>
      <c r="J148" s="17"/>
      <c r="K148" s="17"/>
      <c r="N148" s="10"/>
    </row>
    <row r="149" spans="5:14" x14ac:dyDescent="0.2">
      <c r="E149" s="10"/>
      <c r="F149" s="53"/>
      <c r="G149" s="9"/>
      <c r="J149" s="17"/>
      <c r="K149" s="17"/>
      <c r="N149" s="10"/>
    </row>
    <row r="150" spans="5:14" x14ac:dyDescent="0.2">
      <c r="E150" s="10"/>
      <c r="F150" s="53"/>
      <c r="G150" s="9"/>
      <c r="J150" s="17"/>
      <c r="K150" s="17"/>
      <c r="N150" s="10"/>
    </row>
    <row r="151" spans="5:14" x14ac:dyDescent="0.2">
      <c r="E151" s="10"/>
      <c r="F151" s="53"/>
      <c r="G151" s="9"/>
      <c r="J151" s="17"/>
      <c r="K151" s="17"/>
      <c r="N151" s="10"/>
    </row>
    <row r="152" spans="5:14" x14ac:dyDescent="0.2">
      <c r="E152" s="10"/>
      <c r="F152" s="53"/>
      <c r="G152" s="9"/>
      <c r="J152" s="17"/>
      <c r="K152" s="17"/>
      <c r="N152" s="10"/>
    </row>
    <row r="153" spans="5:14" x14ac:dyDescent="0.2">
      <c r="E153" s="10"/>
      <c r="F153" s="53"/>
      <c r="G153" s="9"/>
      <c r="J153" s="17"/>
      <c r="K153" s="17"/>
      <c r="N153" s="10"/>
    </row>
    <row r="154" spans="5:14" x14ac:dyDescent="0.2">
      <c r="E154" s="10"/>
      <c r="F154" s="53"/>
      <c r="G154" s="9"/>
      <c r="J154" s="17"/>
      <c r="K154" s="17"/>
      <c r="N154" s="10"/>
    </row>
    <row r="155" spans="5:14" x14ac:dyDescent="0.2">
      <c r="E155" s="10"/>
      <c r="F155" s="53"/>
      <c r="G155" s="9"/>
      <c r="J155" s="17"/>
      <c r="K155" s="17"/>
      <c r="N155" s="10"/>
    </row>
    <row r="156" spans="5:14" x14ac:dyDescent="0.2">
      <c r="E156" s="10"/>
      <c r="F156" s="53"/>
      <c r="G156" s="9"/>
      <c r="J156" s="17"/>
      <c r="K156" s="17"/>
      <c r="N156" s="10"/>
    </row>
    <row r="157" spans="5:14" x14ac:dyDescent="0.2">
      <c r="E157" s="10"/>
      <c r="F157" s="53"/>
      <c r="G157" s="9"/>
      <c r="J157" s="17"/>
      <c r="K157" s="17"/>
      <c r="N157" s="10"/>
    </row>
    <row r="158" spans="5:14" x14ac:dyDescent="0.2">
      <c r="E158" s="10"/>
      <c r="F158" s="53"/>
      <c r="G158" s="9"/>
      <c r="J158" s="17"/>
      <c r="K158" s="17"/>
      <c r="N158" s="10"/>
    </row>
    <row r="159" spans="5:14" x14ac:dyDescent="0.2">
      <c r="E159" s="10"/>
      <c r="F159" s="53"/>
      <c r="G159" s="9"/>
      <c r="J159" s="17"/>
      <c r="K159" s="17"/>
      <c r="N159" s="10"/>
    </row>
    <row r="160" spans="5:14" x14ac:dyDescent="0.2">
      <c r="E160" s="10"/>
      <c r="F160" s="53"/>
      <c r="G160" s="9"/>
      <c r="J160" s="17"/>
      <c r="K160" s="17"/>
      <c r="N160" s="10"/>
    </row>
    <row r="161" spans="5:14" x14ac:dyDescent="0.2">
      <c r="E161" s="10"/>
      <c r="F161" s="53"/>
      <c r="G161" s="9"/>
      <c r="J161" s="17"/>
      <c r="K161" s="17"/>
      <c r="N161" s="10"/>
    </row>
    <row r="162" spans="5:14" x14ac:dyDescent="0.2">
      <c r="E162" s="10"/>
      <c r="F162" s="53"/>
      <c r="G162" s="9"/>
      <c r="J162" s="17"/>
      <c r="K162" s="17"/>
      <c r="N162" s="10"/>
    </row>
    <row r="163" spans="5:14" x14ac:dyDescent="0.2">
      <c r="E163" s="10"/>
      <c r="F163" s="53"/>
      <c r="G163" s="9"/>
      <c r="J163" s="17"/>
      <c r="K163" s="17"/>
      <c r="N163" s="10"/>
    </row>
    <row r="164" spans="5:14" x14ac:dyDescent="0.2">
      <c r="E164" s="10"/>
      <c r="F164" s="53"/>
      <c r="G164" s="9"/>
      <c r="J164" s="17"/>
      <c r="K164" s="17"/>
      <c r="N164" s="10"/>
    </row>
    <row r="165" spans="5:14" x14ac:dyDescent="0.2">
      <c r="E165" s="10"/>
      <c r="F165" s="53"/>
      <c r="G165" s="9"/>
      <c r="J165" s="17"/>
      <c r="K165" s="17"/>
      <c r="N165" s="10"/>
    </row>
    <row r="166" spans="5:14" x14ac:dyDescent="0.2">
      <c r="E166" s="10"/>
      <c r="F166" s="53"/>
      <c r="G166" s="9"/>
      <c r="J166" s="17"/>
      <c r="K166" s="17"/>
      <c r="N166" s="10"/>
    </row>
    <row r="167" spans="5:14" x14ac:dyDescent="0.2">
      <c r="E167" s="10"/>
      <c r="F167" s="53"/>
      <c r="G167" s="9"/>
      <c r="J167" s="17"/>
      <c r="K167" s="17"/>
      <c r="N167" s="10"/>
    </row>
    <row r="168" spans="5:14" x14ac:dyDescent="0.2">
      <c r="E168" s="10"/>
      <c r="F168" s="53"/>
      <c r="G168" s="9"/>
      <c r="J168" s="17"/>
      <c r="K168" s="17"/>
      <c r="N168" s="10"/>
    </row>
    <row r="169" spans="5:14" x14ac:dyDescent="0.2">
      <c r="E169" s="10"/>
      <c r="F169" s="53"/>
      <c r="G169" s="9"/>
      <c r="J169" s="17"/>
      <c r="K169" s="17"/>
      <c r="N169" s="10"/>
    </row>
    <row r="170" spans="5:14" x14ac:dyDescent="0.2">
      <c r="E170" s="10"/>
      <c r="F170" s="53"/>
      <c r="G170" s="9"/>
      <c r="J170" s="17"/>
      <c r="K170" s="17"/>
      <c r="N170" s="10"/>
    </row>
    <row r="171" spans="5:14" x14ac:dyDescent="0.2">
      <c r="E171" s="10"/>
      <c r="F171" s="53"/>
      <c r="G171" s="9"/>
      <c r="J171" s="17"/>
      <c r="K171" s="17"/>
      <c r="N171" s="10"/>
    </row>
    <row r="172" spans="5:14" x14ac:dyDescent="0.2">
      <c r="E172" s="10"/>
      <c r="F172" s="53"/>
      <c r="G172" s="9"/>
      <c r="J172" s="17"/>
      <c r="K172" s="17"/>
      <c r="N172" s="10"/>
    </row>
    <row r="173" spans="5:14" x14ac:dyDescent="0.2">
      <c r="E173" s="10"/>
      <c r="F173" s="53"/>
      <c r="G173" s="9"/>
      <c r="J173" s="17"/>
      <c r="K173" s="17"/>
      <c r="N173" s="10"/>
    </row>
    <row r="174" spans="5:14" x14ac:dyDescent="0.2">
      <c r="E174" s="10"/>
      <c r="F174" s="53"/>
      <c r="G174" s="9"/>
      <c r="J174" s="17"/>
      <c r="K174" s="17"/>
      <c r="N174" s="10"/>
    </row>
    <row r="175" spans="5:14" x14ac:dyDescent="0.2">
      <c r="E175" s="10"/>
      <c r="F175" s="53"/>
      <c r="G175" s="9"/>
      <c r="J175" s="17"/>
      <c r="K175" s="17"/>
      <c r="N175" s="10"/>
    </row>
    <row r="176" spans="5:14" x14ac:dyDescent="0.2">
      <c r="E176" s="10"/>
      <c r="F176" s="53"/>
      <c r="G176" s="9"/>
      <c r="J176" s="17"/>
      <c r="K176" s="17"/>
      <c r="N176" s="10"/>
    </row>
    <row r="177" spans="5:14" x14ac:dyDescent="0.2">
      <c r="E177" s="10"/>
      <c r="F177" s="53"/>
      <c r="G177" s="9"/>
      <c r="J177" s="17"/>
      <c r="K177" s="17"/>
      <c r="N177" s="10"/>
    </row>
    <row r="178" spans="5:14" x14ac:dyDescent="0.2">
      <c r="E178" s="10"/>
      <c r="F178" s="53"/>
      <c r="G178" s="9"/>
      <c r="J178" s="17"/>
      <c r="K178" s="17"/>
      <c r="N178" s="10"/>
    </row>
    <row r="179" spans="5:14" x14ac:dyDescent="0.2">
      <c r="E179" s="10"/>
      <c r="F179" s="53"/>
      <c r="G179" s="9"/>
      <c r="J179" s="17"/>
      <c r="K179" s="17"/>
      <c r="N179" s="10"/>
    </row>
    <row r="180" spans="5:14" x14ac:dyDescent="0.2">
      <c r="E180" s="10"/>
      <c r="F180" s="53"/>
      <c r="G180" s="9"/>
      <c r="J180" s="17"/>
      <c r="K180" s="17"/>
      <c r="N180" s="10"/>
    </row>
    <row r="181" spans="5:14" x14ac:dyDescent="0.2">
      <c r="E181" s="10"/>
      <c r="F181" s="53"/>
      <c r="G181" s="9"/>
      <c r="J181" s="17"/>
      <c r="K181" s="17"/>
      <c r="N181" s="10"/>
    </row>
    <row r="182" spans="5:14" x14ac:dyDescent="0.2">
      <c r="E182" s="10"/>
      <c r="F182" s="53"/>
      <c r="G182" s="9"/>
      <c r="J182" s="17"/>
      <c r="K182" s="17"/>
      <c r="N182" s="10"/>
    </row>
    <row r="183" spans="5:14" x14ac:dyDescent="0.2">
      <c r="E183" s="10"/>
      <c r="F183" s="53"/>
      <c r="G183" s="9"/>
      <c r="J183" s="17"/>
      <c r="K183" s="17"/>
      <c r="N183" s="10"/>
    </row>
    <row r="184" spans="5:14" x14ac:dyDescent="0.2">
      <c r="E184" s="10"/>
      <c r="F184" s="53"/>
      <c r="G184" s="9"/>
      <c r="J184" s="17"/>
      <c r="K184" s="17"/>
      <c r="N184" s="10"/>
    </row>
    <row r="185" spans="5:14" x14ac:dyDescent="0.2">
      <c r="E185" s="10"/>
      <c r="F185" s="53"/>
      <c r="G185" s="9"/>
      <c r="J185" s="17"/>
      <c r="K185" s="17"/>
      <c r="N185" s="10"/>
    </row>
    <row r="186" spans="5:14" x14ac:dyDescent="0.2">
      <c r="E186" s="10"/>
      <c r="F186" s="53"/>
      <c r="G186" s="9"/>
      <c r="J186" s="17"/>
      <c r="K186" s="17"/>
      <c r="N186" s="10"/>
    </row>
    <row r="187" spans="5:14" x14ac:dyDescent="0.2">
      <c r="E187" s="10"/>
      <c r="F187" s="53"/>
      <c r="G187" s="9"/>
      <c r="J187" s="17"/>
      <c r="K187" s="17"/>
      <c r="N187" s="10"/>
    </row>
    <row r="188" spans="5:14" x14ac:dyDescent="0.2">
      <c r="E188" s="10"/>
      <c r="F188" s="53"/>
      <c r="G188" s="9"/>
      <c r="J188" s="17"/>
      <c r="K188" s="17"/>
      <c r="N188" s="10"/>
    </row>
    <row r="189" spans="5:14" x14ac:dyDescent="0.2">
      <c r="E189" s="10"/>
      <c r="F189" s="53"/>
      <c r="G189" s="9"/>
      <c r="J189" s="17"/>
      <c r="K189" s="17"/>
      <c r="N189" s="10"/>
    </row>
    <row r="190" spans="5:14" x14ac:dyDescent="0.2">
      <c r="E190" s="10"/>
      <c r="F190" s="53"/>
      <c r="G190" s="9"/>
      <c r="J190" s="17"/>
      <c r="K190" s="17"/>
      <c r="N190" s="10"/>
    </row>
    <row r="191" spans="5:14" x14ac:dyDescent="0.2">
      <c r="E191" s="10"/>
      <c r="F191" s="53"/>
      <c r="G191" s="9"/>
      <c r="J191" s="17"/>
      <c r="K191" s="17"/>
      <c r="N191" s="10"/>
    </row>
    <row r="192" spans="5:14" x14ac:dyDescent="0.2">
      <c r="E192" s="10"/>
      <c r="F192" s="53"/>
      <c r="G192" s="9"/>
      <c r="J192" s="17"/>
      <c r="K192" s="17"/>
      <c r="N192" s="10"/>
    </row>
    <row r="193" spans="5:14" x14ac:dyDescent="0.2">
      <c r="E193" s="10"/>
      <c r="F193" s="53"/>
      <c r="G193" s="9"/>
      <c r="J193" s="17"/>
      <c r="K193" s="17"/>
      <c r="N193" s="10"/>
    </row>
    <row r="194" spans="5:14" x14ac:dyDescent="0.2">
      <c r="E194" s="10"/>
      <c r="F194" s="53"/>
      <c r="G194" s="9"/>
      <c r="J194" s="17"/>
      <c r="K194" s="17"/>
      <c r="N194" s="10"/>
    </row>
    <row r="195" spans="5:14" x14ac:dyDescent="0.2">
      <c r="E195" s="10"/>
      <c r="F195" s="53"/>
      <c r="G195" s="9"/>
      <c r="J195" s="17"/>
      <c r="K195" s="17"/>
      <c r="N195" s="10"/>
    </row>
    <row r="196" spans="5:14" x14ac:dyDescent="0.2">
      <c r="E196" s="10"/>
      <c r="F196" s="53"/>
      <c r="G196" s="9"/>
      <c r="J196" s="17"/>
      <c r="K196" s="17"/>
      <c r="N196" s="10"/>
    </row>
    <row r="197" spans="5:14" x14ac:dyDescent="0.2">
      <c r="E197" s="10"/>
      <c r="F197" s="53"/>
      <c r="G197" s="9"/>
      <c r="J197" s="17"/>
      <c r="K197" s="17"/>
      <c r="N197" s="10"/>
    </row>
    <row r="198" spans="5:14" x14ac:dyDescent="0.2">
      <c r="E198" s="10"/>
      <c r="F198" s="53"/>
      <c r="G198" s="9"/>
      <c r="J198" s="17"/>
      <c r="K198" s="17"/>
      <c r="N198" s="10"/>
    </row>
    <row r="199" spans="5:14" x14ac:dyDescent="0.2">
      <c r="E199" s="10"/>
      <c r="F199" s="53"/>
      <c r="G199" s="9"/>
      <c r="J199" s="17"/>
      <c r="K199" s="17"/>
      <c r="N199" s="10"/>
    </row>
    <row r="200" spans="5:14" x14ac:dyDescent="0.2">
      <c r="E200" s="10"/>
      <c r="F200" s="53"/>
      <c r="G200" s="9"/>
      <c r="J200" s="17"/>
      <c r="K200" s="17"/>
      <c r="N200" s="10"/>
    </row>
    <row r="201" spans="5:14" x14ac:dyDescent="0.2">
      <c r="E201" s="10"/>
      <c r="F201" s="53"/>
      <c r="G201" s="9"/>
      <c r="J201" s="17"/>
      <c r="K201" s="17"/>
      <c r="N201" s="10"/>
    </row>
    <row r="202" spans="5:14" x14ac:dyDescent="0.2">
      <c r="E202" s="10"/>
      <c r="F202" s="53"/>
      <c r="G202" s="9"/>
      <c r="J202" s="17"/>
      <c r="K202" s="17"/>
      <c r="N202" s="10"/>
    </row>
    <row r="203" spans="5:14" x14ac:dyDescent="0.2">
      <c r="E203" s="10"/>
      <c r="F203" s="53"/>
      <c r="G203" s="9"/>
      <c r="J203" s="17"/>
      <c r="K203" s="17"/>
      <c r="N203" s="10"/>
    </row>
    <row r="204" spans="5:14" x14ac:dyDescent="0.2">
      <c r="E204" s="10"/>
      <c r="F204" s="53"/>
      <c r="G204" s="9"/>
      <c r="J204" s="17"/>
      <c r="K204" s="17"/>
      <c r="N204" s="10"/>
    </row>
    <row r="205" spans="5:14" x14ac:dyDescent="0.2">
      <c r="E205" s="10"/>
      <c r="F205" s="53"/>
      <c r="G205" s="9"/>
      <c r="J205" s="17"/>
      <c r="K205" s="17"/>
      <c r="N205" s="10"/>
    </row>
    <row r="206" spans="5:14" x14ac:dyDescent="0.2">
      <c r="E206" s="10"/>
      <c r="F206" s="53"/>
      <c r="G206" s="9"/>
      <c r="J206" s="17"/>
      <c r="K206" s="17"/>
      <c r="N206" s="10"/>
    </row>
    <row r="207" spans="5:14" x14ac:dyDescent="0.2">
      <c r="E207" s="10"/>
      <c r="F207" s="53"/>
      <c r="G207" s="9"/>
      <c r="J207" s="17"/>
      <c r="K207" s="17"/>
      <c r="N207" s="10"/>
    </row>
    <row r="208" spans="5:14" x14ac:dyDescent="0.2">
      <c r="E208" s="10"/>
      <c r="F208" s="53"/>
      <c r="G208" s="9"/>
      <c r="J208" s="17"/>
      <c r="K208" s="17"/>
      <c r="N208" s="10"/>
    </row>
    <row r="209" spans="5:14" x14ac:dyDescent="0.2">
      <c r="E209" s="10"/>
      <c r="F209" s="53"/>
      <c r="G209" s="9"/>
      <c r="J209" s="17"/>
      <c r="K209" s="17"/>
      <c r="N209" s="10"/>
    </row>
    <row r="210" spans="5:14" x14ac:dyDescent="0.2">
      <c r="E210" s="10"/>
      <c r="F210" s="53"/>
      <c r="G210" s="9"/>
      <c r="J210" s="17"/>
      <c r="K210" s="17"/>
      <c r="N210" s="10"/>
    </row>
    <row r="211" spans="5:14" x14ac:dyDescent="0.2">
      <c r="E211" s="10"/>
      <c r="F211" s="53"/>
      <c r="G211" s="9"/>
      <c r="J211" s="17"/>
      <c r="K211" s="17"/>
      <c r="N211" s="10"/>
    </row>
    <row r="212" spans="5:14" x14ac:dyDescent="0.2">
      <c r="E212" s="10"/>
      <c r="F212" s="53"/>
      <c r="G212" s="9"/>
      <c r="J212" s="17"/>
      <c r="K212" s="17"/>
      <c r="N212" s="10"/>
    </row>
    <row r="213" spans="5:14" x14ac:dyDescent="0.2">
      <c r="E213" s="10"/>
      <c r="F213" s="53"/>
      <c r="G213" s="9"/>
      <c r="J213" s="17"/>
      <c r="K213" s="17"/>
      <c r="N213" s="10"/>
    </row>
    <row r="214" spans="5:14" x14ac:dyDescent="0.2">
      <c r="E214" s="10"/>
      <c r="F214" s="53"/>
      <c r="G214" s="9"/>
      <c r="J214" s="17"/>
      <c r="K214" s="17"/>
      <c r="N214" s="10"/>
    </row>
    <row r="215" spans="5:14" x14ac:dyDescent="0.2">
      <c r="E215" s="10"/>
      <c r="F215" s="53"/>
      <c r="G215" s="9"/>
      <c r="J215" s="17"/>
      <c r="K215" s="17"/>
      <c r="N215" s="10"/>
    </row>
    <row r="216" spans="5:14" x14ac:dyDescent="0.2">
      <c r="E216" s="10"/>
      <c r="F216" s="53"/>
      <c r="G216" s="9"/>
      <c r="J216" s="17"/>
      <c r="K216" s="17"/>
      <c r="N216" s="10"/>
    </row>
    <row r="217" spans="5:14" x14ac:dyDescent="0.2">
      <c r="E217" s="10"/>
      <c r="F217" s="53"/>
      <c r="G217" s="9"/>
      <c r="J217" s="17"/>
      <c r="K217" s="17"/>
      <c r="N217" s="10"/>
    </row>
    <row r="218" spans="5:14" x14ac:dyDescent="0.2">
      <c r="E218" s="10"/>
      <c r="F218" s="53"/>
      <c r="G218" s="9"/>
      <c r="J218" s="17"/>
      <c r="K218" s="17"/>
      <c r="N218" s="10"/>
    </row>
    <row r="219" spans="5:14" x14ac:dyDescent="0.2">
      <c r="E219" s="10"/>
      <c r="F219" s="53"/>
      <c r="G219" s="9"/>
      <c r="J219" s="17"/>
      <c r="K219" s="17"/>
      <c r="N219" s="10"/>
    </row>
    <row r="220" spans="5:14" x14ac:dyDescent="0.2">
      <c r="E220" s="10"/>
      <c r="F220" s="53"/>
      <c r="G220" s="9"/>
      <c r="J220" s="17"/>
      <c r="K220" s="17"/>
      <c r="N220" s="10"/>
    </row>
    <row r="221" spans="5:14" x14ac:dyDescent="0.2">
      <c r="E221" s="10"/>
      <c r="F221" s="53"/>
      <c r="G221" s="9"/>
      <c r="J221" s="17"/>
      <c r="K221" s="17"/>
      <c r="N221" s="10"/>
    </row>
    <row r="222" spans="5:14" x14ac:dyDescent="0.2">
      <c r="E222" s="10"/>
      <c r="F222" s="53"/>
      <c r="G222" s="9"/>
      <c r="J222" s="17"/>
      <c r="K222" s="17"/>
      <c r="N222" s="10"/>
    </row>
    <row r="223" spans="5:14" x14ac:dyDescent="0.2">
      <c r="E223" s="10"/>
      <c r="F223" s="53"/>
      <c r="G223" s="9"/>
      <c r="J223" s="17"/>
      <c r="K223" s="17"/>
      <c r="N223" s="10"/>
    </row>
    <row r="224" spans="5:14" x14ac:dyDescent="0.2">
      <c r="E224" s="10"/>
      <c r="F224" s="53"/>
      <c r="G224" s="9"/>
      <c r="J224" s="17"/>
      <c r="K224" s="17"/>
      <c r="N224" s="10"/>
    </row>
    <row r="225" spans="5:14" x14ac:dyDescent="0.2">
      <c r="E225" s="10"/>
      <c r="F225" s="53"/>
      <c r="G225" s="9"/>
      <c r="J225" s="17"/>
      <c r="K225" s="17"/>
      <c r="N225" s="10"/>
    </row>
    <row r="226" spans="5:14" x14ac:dyDescent="0.2">
      <c r="E226" s="10"/>
      <c r="F226" s="53"/>
      <c r="G226" s="9"/>
      <c r="J226" s="17"/>
      <c r="K226" s="17"/>
      <c r="N226" s="10"/>
    </row>
    <row r="227" spans="5:14" x14ac:dyDescent="0.2">
      <c r="E227" s="10"/>
      <c r="F227" s="53"/>
      <c r="G227" s="9"/>
      <c r="J227" s="17"/>
      <c r="K227" s="17"/>
      <c r="N227" s="10"/>
    </row>
    <row r="228" spans="5:14" x14ac:dyDescent="0.2">
      <c r="E228" s="10"/>
      <c r="F228" s="53"/>
      <c r="G228" s="9"/>
      <c r="J228" s="17"/>
      <c r="K228" s="17"/>
      <c r="N228" s="10"/>
    </row>
    <row r="229" spans="5:14" x14ac:dyDescent="0.2">
      <c r="E229" s="10"/>
      <c r="F229" s="53"/>
      <c r="G229" s="9"/>
      <c r="J229" s="17"/>
      <c r="K229" s="17"/>
      <c r="N229" s="10"/>
    </row>
    <row r="230" spans="5:14" x14ac:dyDescent="0.2">
      <c r="E230" s="10"/>
      <c r="F230" s="53"/>
      <c r="G230" s="9"/>
      <c r="J230" s="17"/>
      <c r="K230" s="17"/>
      <c r="N230" s="10"/>
    </row>
    <row r="231" spans="5:14" x14ac:dyDescent="0.2">
      <c r="E231" s="10"/>
      <c r="F231" s="53"/>
      <c r="G231" s="9"/>
      <c r="J231" s="17"/>
      <c r="K231" s="17"/>
      <c r="N231" s="10"/>
    </row>
    <row r="232" spans="5:14" x14ac:dyDescent="0.2">
      <c r="E232" s="10"/>
      <c r="F232" s="53"/>
      <c r="G232" s="9"/>
      <c r="J232" s="17"/>
      <c r="K232" s="17"/>
      <c r="N232" s="10"/>
    </row>
    <row r="233" spans="5:14" x14ac:dyDescent="0.2">
      <c r="E233" s="10"/>
      <c r="F233" s="53"/>
      <c r="G233" s="9"/>
      <c r="J233" s="17"/>
      <c r="K233" s="17"/>
      <c r="N233" s="10"/>
    </row>
    <row r="234" spans="5:14" x14ac:dyDescent="0.2">
      <c r="E234" s="10"/>
      <c r="F234" s="53"/>
      <c r="G234" s="9"/>
      <c r="J234" s="17"/>
      <c r="K234" s="17"/>
      <c r="N234" s="10"/>
    </row>
    <row r="235" spans="5:14" x14ac:dyDescent="0.2">
      <c r="E235" s="10"/>
      <c r="F235" s="53"/>
      <c r="G235" s="9"/>
      <c r="J235" s="17"/>
      <c r="K235" s="17"/>
      <c r="N235" s="10"/>
    </row>
    <row r="236" spans="5:14" x14ac:dyDescent="0.2">
      <c r="E236" s="10"/>
      <c r="F236" s="53"/>
      <c r="G236" s="9"/>
      <c r="J236" s="17"/>
      <c r="K236" s="17"/>
      <c r="N236" s="10"/>
    </row>
    <row r="237" spans="5:14" x14ac:dyDescent="0.2">
      <c r="E237" s="10"/>
      <c r="F237" s="53"/>
      <c r="G237" s="9"/>
      <c r="J237" s="17"/>
      <c r="K237" s="17"/>
      <c r="N237" s="10"/>
    </row>
    <row r="238" spans="5:14" x14ac:dyDescent="0.2">
      <c r="E238" s="10"/>
      <c r="F238" s="53"/>
      <c r="G238" s="9"/>
      <c r="J238" s="17"/>
      <c r="K238" s="17"/>
      <c r="N238" s="10"/>
    </row>
    <row r="239" spans="5:14" x14ac:dyDescent="0.2">
      <c r="E239" s="10"/>
      <c r="F239" s="53"/>
      <c r="G239" s="9"/>
      <c r="J239" s="17"/>
      <c r="K239" s="17"/>
      <c r="N239" s="10"/>
    </row>
    <row r="240" spans="5:14" x14ac:dyDescent="0.2">
      <c r="E240" s="10"/>
      <c r="F240" s="53"/>
      <c r="G240" s="9"/>
      <c r="J240" s="17"/>
      <c r="K240" s="17"/>
      <c r="N240" s="10"/>
    </row>
    <row r="241" spans="5:14" x14ac:dyDescent="0.2">
      <c r="E241" s="10"/>
      <c r="F241" s="53"/>
      <c r="G241" s="9"/>
      <c r="J241" s="17"/>
      <c r="K241" s="17"/>
      <c r="N241" s="10"/>
    </row>
    <row r="242" spans="5:14" x14ac:dyDescent="0.2">
      <c r="E242" s="10"/>
      <c r="F242" s="53"/>
      <c r="G242" s="9"/>
      <c r="J242" s="17"/>
      <c r="K242" s="17"/>
      <c r="N242" s="10"/>
    </row>
    <row r="243" spans="5:14" x14ac:dyDescent="0.2">
      <c r="E243" s="10"/>
      <c r="F243" s="53"/>
      <c r="G243" s="9"/>
      <c r="J243" s="17"/>
      <c r="K243" s="17"/>
      <c r="N243" s="10"/>
    </row>
    <row r="244" spans="5:14" x14ac:dyDescent="0.2">
      <c r="E244" s="10"/>
      <c r="F244" s="53"/>
      <c r="G244" s="9"/>
      <c r="J244" s="17"/>
      <c r="K244" s="17"/>
      <c r="N244" s="10"/>
    </row>
    <row r="245" spans="5:14" x14ac:dyDescent="0.2">
      <c r="E245" s="10"/>
      <c r="F245" s="53"/>
      <c r="G245" s="9"/>
      <c r="J245" s="17"/>
      <c r="K245" s="17"/>
      <c r="N245" s="10"/>
    </row>
    <row r="246" spans="5:14" x14ac:dyDescent="0.2">
      <c r="E246" s="10"/>
      <c r="F246" s="53"/>
      <c r="G246" s="9"/>
      <c r="J246" s="17"/>
      <c r="K246" s="17"/>
      <c r="N246" s="10"/>
    </row>
    <row r="247" spans="5:14" x14ac:dyDescent="0.2">
      <c r="E247" s="10"/>
      <c r="F247" s="53"/>
      <c r="G247" s="9"/>
      <c r="J247" s="17"/>
      <c r="K247" s="17"/>
      <c r="N247" s="10"/>
    </row>
    <row r="248" spans="5:14" x14ac:dyDescent="0.2">
      <c r="E248" s="10"/>
      <c r="F248" s="53"/>
      <c r="G248" s="9"/>
      <c r="J248" s="17"/>
      <c r="K248" s="17"/>
      <c r="N248" s="10"/>
    </row>
    <row r="249" spans="5:14" x14ac:dyDescent="0.2">
      <c r="E249" s="10"/>
      <c r="F249" s="53"/>
      <c r="G249" s="9"/>
      <c r="J249" s="17"/>
      <c r="K249" s="17"/>
      <c r="N249" s="10"/>
    </row>
    <row r="250" spans="5:14" x14ac:dyDescent="0.2">
      <c r="E250" s="10"/>
      <c r="F250" s="53"/>
      <c r="G250" s="9"/>
      <c r="J250" s="17"/>
      <c r="K250" s="17"/>
      <c r="N250" s="10"/>
    </row>
    <row r="251" spans="5:14" x14ac:dyDescent="0.2">
      <c r="E251" s="10"/>
      <c r="F251" s="53"/>
      <c r="G251" s="9"/>
      <c r="J251" s="17"/>
      <c r="K251" s="17"/>
      <c r="N251" s="10"/>
    </row>
    <row r="252" spans="5:14" x14ac:dyDescent="0.2">
      <c r="E252" s="10"/>
      <c r="F252" s="53"/>
      <c r="G252" s="9"/>
      <c r="J252" s="17"/>
      <c r="K252" s="17"/>
      <c r="N252" s="10"/>
    </row>
    <row r="253" spans="5:14" x14ac:dyDescent="0.2">
      <c r="E253" s="10"/>
      <c r="F253" s="53"/>
      <c r="G253" s="9"/>
      <c r="J253" s="17"/>
      <c r="K253" s="17"/>
      <c r="N253" s="10"/>
    </row>
    <row r="254" spans="5:14" x14ac:dyDescent="0.2">
      <c r="E254" s="10"/>
      <c r="F254" s="53"/>
      <c r="G254" s="9"/>
      <c r="J254" s="17"/>
      <c r="K254" s="17"/>
      <c r="N254" s="10"/>
    </row>
    <row r="255" spans="5:14" x14ac:dyDescent="0.2">
      <c r="E255" s="10"/>
      <c r="F255" s="53"/>
      <c r="G255" s="9"/>
      <c r="J255" s="17"/>
      <c r="K255" s="17"/>
      <c r="N255" s="10"/>
    </row>
    <row r="256" spans="5:14" x14ac:dyDescent="0.2">
      <c r="E256" s="10"/>
      <c r="F256" s="53"/>
      <c r="G256" s="9"/>
      <c r="J256" s="17"/>
      <c r="K256" s="17"/>
      <c r="N256" s="10"/>
    </row>
    <row r="257" spans="5:14" x14ac:dyDescent="0.2">
      <c r="E257" s="10"/>
      <c r="F257" s="53"/>
      <c r="G257" s="9"/>
      <c r="J257" s="17"/>
      <c r="K257" s="17"/>
      <c r="N257" s="10"/>
    </row>
    <row r="258" spans="5:14" x14ac:dyDescent="0.2">
      <c r="E258" s="10"/>
      <c r="F258" s="53"/>
      <c r="G258" s="9"/>
      <c r="J258" s="17"/>
      <c r="K258" s="17"/>
      <c r="N258" s="10"/>
    </row>
    <row r="259" spans="5:14" x14ac:dyDescent="0.2">
      <c r="E259" s="10"/>
      <c r="F259" s="53"/>
      <c r="G259" s="9"/>
      <c r="J259" s="17"/>
      <c r="K259" s="17"/>
      <c r="N259" s="10"/>
    </row>
    <row r="260" spans="5:14" x14ac:dyDescent="0.2">
      <c r="E260" s="10"/>
      <c r="F260" s="53"/>
      <c r="G260" s="9"/>
      <c r="J260" s="17"/>
      <c r="K260" s="17"/>
      <c r="N260" s="10"/>
    </row>
    <row r="261" spans="5:14" x14ac:dyDescent="0.2">
      <c r="E261" s="10"/>
      <c r="F261" s="53"/>
      <c r="G261" s="9"/>
      <c r="J261" s="17"/>
      <c r="K261" s="17"/>
      <c r="N261" s="10"/>
    </row>
    <row r="262" spans="5:14" x14ac:dyDescent="0.2">
      <c r="E262" s="10"/>
      <c r="F262" s="53"/>
      <c r="G262" s="9"/>
      <c r="J262" s="17"/>
      <c r="K262" s="17"/>
      <c r="N262" s="10"/>
    </row>
    <row r="263" spans="5:14" x14ac:dyDescent="0.2">
      <c r="E263" s="10"/>
      <c r="F263" s="53"/>
      <c r="G263" s="9"/>
      <c r="J263" s="17"/>
      <c r="K263" s="17"/>
      <c r="N263" s="10"/>
    </row>
    <row r="264" spans="5:14" x14ac:dyDescent="0.2">
      <c r="E264" s="10"/>
      <c r="F264" s="53"/>
      <c r="G264" s="9"/>
      <c r="J264" s="17"/>
      <c r="K264" s="17"/>
      <c r="N264" s="10"/>
    </row>
    <row r="265" spans="5:14" x14ac:dyDescent="0.2">
      <c r="E265" s="10"/>
      <c r="F265" s="53"/>
      <c r="G265" s="9"/>
      <c r="J265" s="17"/>
      <c r="K265" s="17"/>
      <c r="N265" s="10"/>
    </row>
    <row r="266" spans="5:14" x14ac:dyDescent="0.2">
      <c r="E266" s="10"/>
      <c r="F266" s="53"/>
      <c r="G266" s="9"/>
      <c r="J266" s="17"/>
      <c r="K266" s="17"/>
      <c r="N266" s="10"/>
    </row>
    <row r="267" spans="5:14" x14ac:dyDescent="0.2">
      <c r="E267" s="10"/>
      <c r="F267" s="53"/>
      <c r="G267" s="9"/>
      <c r="J267" s="17"/>
      <c r="K267" s="17"/>
      <c r="N267" s="10"/>
    </row>
    <row r="268" spans="5:14" x14ac:dyDescent="0.2">
      <c r="E268" s="10"/>
      <c r="F268" s="53"/>
      <c r="G268" s="9"/>
      <c r="J268" s="17"/>
      <c r="K268" s="17"/>
      <c r="N268" s="10"/>
    </row>
    <row r="269" spans="5:14" x14ac:dyDescent="0.2">
      <c r="E269" s="10"/>
      <c r="F269" s="53"/>
      <c r="G269" s="9"/>
      <c r="J269" s="17"/>
      <c r="K269" s="17"/>
      <c r="N269" s="10"/>
    </row>
    <row r="270" spans="5:14" x14ac:dyDescent="0.2">
      <c r="E270" s="10"/>
      <c r="F270" s="53"/>
      <c r="G270" s="9"/>
      <c r="J270" s="17"/>
      <c r="K270" s="17"/>
      <c r="N270" s="10"/>
    </row>
    <row r="271" spans="5:14" x14ac:dyDescent="0.2">
      <c r="E271" s="10"/>
      <c r="F271" s="53"/>
      <c r="G271" s="9"/>
      <c r="J271" s="17"/>
      <c r="K271" s="17"/>
      <c r="N271" s="10"/>
    </row>
    <row r="272" spans="5:14" x14ac:dyDescent="0.2">
      <c r="E272" s="10"/>
      <c r="F272" s="53"/>
      <c r="G272" s="9"/>
      <c r="J272" s="17"/>
      <c r="K272" s="17"/>
      <c r="N272" s="10"/>
    </row>
    <row r="273" spans="5:14" x14ac:dyDescent="0.2">
      <c r="E273" s="10"/>
      <c r="F273" s="53"/>
      <c r="G273" s="9"/>
      <c r="J273" s="17"/>
      <c r="K273" s="17"/>
      <c r="N273" s="10"/>
    </row>
    <row r="274" spans="5:14" x14ac:dyDescent="0.2">
      <c r="E274" s="10"/>
      <c r="F274" s="53"/>
      <c r="G274" s="9"/>
      <c r="J274" s="17"/>
      <c r="K274" s="17"/>
      <c r="N274" s="10"/>
    </row>
    <row r="275" spans="5:14" x14ac:dyDescent="0.2">
      <c r="E275" s="10"/>
      <c r="F275" s="53"/>
      <c r="G275" s="9"/>
      <c r="J275" s="17"/>
      <c r="K275" s="17"/>
      <c r="N275" s="10"/>
    </row>
    <row r="276" spans="5:14" x14ac:dyDescent="0.2">
      <c r="E276" s="10"/>
      <c r="F276" s="53"/>
      <c r="G276" s="9"/>
      <c r="J276" s="17"/>
      <c r="K276" s="17"/>
      <c r="N276" s="10"/>
    </row>
    <row r="277" spans="5:14" x14ac:dyDescent="0.2">
      <c r="E277" s="10"/>
      <c r="F277" s="53"/>
      <c r="G277" s="9"/>
      <c r="J277" s="17"/>
      <c r="K277" s="17"/>
      <c r="N277" s="10"/>
    </row>
    <row r="278" spans="5:14" x14ac:dyDescent="0.2">
      <c r="E278" s="10"/>
      <c r="F278" s="53"/>
      <c r="G278" s="9"/>
      <c r="J278" s="17"/>
      <c r="K278" s="17"/>
      <c r="N278" s="10"/>
    </row>
    <row r="279" spans="5:14" x14ac:dyDescent="0.2">
      <c r="E279" s="10"/>
      <c r="F279" s="53"/>
      <c r="G279" s="9"/>
      <c r="J279" s="17"/>
      <c r="K279" s="17"/>
      <c r="N279" s="10"/>
    </row>
    <row r="280" spans="5:14" x14ac:dyDescent="0.2">
      <c r="E280" s="10"/>
      <c r="F280" s="53"/>
      <c r="G280" s="9"/>
      <c r="J280" s="17"/>
      <c r="K280" s="17"/>
      <c r="N280" s="10"/>
    </row>
    <row r="281" spans="5:14" x14ac:dyDescent="0.2">
      <c r="E281" s="10"/>
      <c r="F281" s="53"/>
      <c r="G281" s="9"/>
      <c r="J281" s="17"/>
      <c r="K281" s="17"/>
      <c r="N281" s="10"/>
    </row>
    <row r="282" spans="5:14" x14ac:dyDescent="0.2">
      <c r="E282" s="10"/>
      <c r="F282" s="53"/>
      <c r="G282" s="9"/>
      <c r="J282" s="17"/>
      <c r="K282" s="17"/>
      <c r="N282" s="10"/>
    </row>
    <row r="283" spans="5:14" x14ac:dyDescent="0.2">
      <c r="E283" s="10"/>
      <c r="F283" s="53"/>
      <c r="G283" s="9"/>
      <c r="J283" s="17"/>
      <c r="K283" s="17"/>
      <c r="N283" s="10"/>
    </row>
    <row r="284" spans="5:14" x14ac:dyDescent="0.2">
      <c r="E284" s="10"/>
      <c r="F284" s="53"/>
      <c r="G284" s="9"/>
      <c r="J284" s="17"/>
      <c r="K284" s="17"/>
      <c r="N284" s="10"/>
    </row>
    <row r="285" spans="5:14" x14ac:dyDescent="0.2">
      <c r="E285" s="10"/>
      <c r="F285" s="53"/>
      <c r="G285" s="9"/>
      <c r="J285" s="17"/>
      <c r="K285" s="17"/>
      <c r="N285" s="10"/>
    </row>
    <row r="286" spans="5:14" x14ac:dyDescent="0.2">
      <c r="E286" s="10"/>
      <c r="F286" s="53"/>
      <c r="G286" s="9"/>
      <c r="J286" s="17"/>
      <c r="K286" s="17"/>
      <c r="N286" s="10"/>
    </row>
    <row r="287" spans="5:14" x14ac:dyDescent="0.2">
      <c r="E287" s="10"/>
      <c r="F287" s="53"/>
      <c r="G287" s="9"/>
      <c r="J287" s="17"/>
      <c r="K287" s="17"/>
      <c r="N287" s="10"/>
    </row>
    <row r="288" spans="5:14" x14ac:dyDescent="0.2">
      <c r="E288" s="10"/>
      <c r="F288" s="53"/>
      <c r="G288" s="9"/>
      <c r="J288" s="17"/>
      <c r="K288" s="17"/>
      <c r="N288" s="10"/>
    </row>
    <row r="289" spans="5:14" x14ac:dyDescent="0.2">
      <c r="E289" s="10"/>
      <c r="F289" s="53"/>
      <c r="G289" s="9"/>
      <c r="J289" s="17"/>
      <c r="K289" s="17"/>
      <c r="N289" s="10"/>
    </row>
    <row r="290" spans="5:14" x14ac:dyDescent="0.2">
      <c r="E290" s="10"/>
      <c r="F290" s="53"/>
      <c r="G290" s="9"/>
      <c r="J290" s="17"/>
      <c r="K290" s="17"/>
      <c r="N290" s="10"/>
    </row>
    <row r="291" spans="5:14" x14ac:dyDescent="0.2">
      <c r="E291" s="10"/>
      <c r="F291" s="53"/>
      <c r="G291" s="9"/>
      <c r="J291" s="17"/>
      <c r="K291" s="17"/>
      <c r="N291" s="10"/>
    </row>
    <row r="292" spans="5:14" x14ac:dyDescent="0.2">
      <c r="E292" s="10"/>
      <c r="F292" s="53"/>
      <c r="G292" s="9"/>
      <c r="J292" s="17"/>
      <c r="K292" s="17"/>
      <c r="N292" s="10"/>
    </row>
    <row r="293" spans="5:14" x14ac:dyDescent="0.2">
      <c r="E293" s="10"/>
      <c r="F293" s="53"/>
      <c r="G293" s="9"/>
      <c r="J293" s="17"/>
      <c r="K293" s="17"/>
      <c r="N293" s="10"/>
    </row>
    <row r="294" spans="5:14" x14ac:dyDescent="0.2">
      <c r="E294" s="10"/>
      <c r="F294" s="53"/>
      <c r="G294" s="9"/>
      <c r="J294" s="17"/>
      <c r="K294" s="17"/>
      <c r="N294" s="10"/>
    </row>
    <row r="295" spans="5:14" x14ac:dyDescent="0.2">
      <c r="E295" s="10"/>
      <c r="F295" s="53"/>
      <c r="G295" s="9"/>
      <c r="J295" s="17"/>
      <c r="K295" s="17"/>
      <c r="N295" s="10"/>
    </row>
    <row r="296" spans="5:14" x14ac:dyDescent="0.2">
      <c r="E296" s="10"/>
      <c r="F296" s="53"/>
      <c r="G296" s="9"/>
      <c r="J296" s="17"/>
      <c r="K296" s="17"/>
      <c r="N296" s="10"/>
    </row>
    <row r="297" spans="5:14" x14ac:dyDescent="0.2">
      <c r="E297" s="10"/>
      <c r="F297" s="53"/>
      <c r="G297" s="9"/>
      <c r="J297" s="17"/>
      <c r="K297" s="17"/>
      <c r="N297" s="10"/>
    </row>
    <row r="298" spans="5:14" x14ac:dyDescent="0.2">
      <c r="E298" s="10"/>
      <c r="F298" s="53"/>
      <c r="G298" s="9"/>
      <c r="J298" s="17"/>
      <c r="K298" s="17"/>
      <c r="N298" s="10"/>
    </row>
    <row r="299" spans="5:14" x14ac:dyDescent="0.2">
      <c r="E299" s="10"/>
      <c r="F299" s="53"/>
      <c r="G299" s="9"/>
      <c r="J299" s="17"/>
      <c r="K299" s="17"/>
      <c r="N299" s="10"/>
    </row>
    <row r="300" spans="5:14" x14ac:dyDescent="0.2">
      <c r="E300" s="10"/>
      <c r="F300" s="53"/>
      <c r="G300" s="9"/>
      <c r="J300" s="17"/>
      <c r="K300" s="17"/>
      <c r="N300" s="10"/>
    </row>
    <row r="301" spans="5:14" x14ac:dyDescent="0.2">
      <c r="E301" s="10"/>
      <c r="F301" s="53"/>
      <c r="G301" s="9"/>
      <c r="J301" s="17"/>
      <c r="K301" s="17"/>
      <c r="N301" s="10"/>
    </row>
    <row r="302" spans="5:14" x14ac:dyDescent="0.2">
      <c r="E302" s="10"/>
      <c r="F302" s="53"/>
      <c r="G302" s="9"/>
      <c r="J302" s="17"/>
      <c r="K302" s="17"/>
      <c r="N302" s="10"/>
    </row>
    <row r="303" spans="5:14" x14ac:dyDescent="0.2">
      <c r="E303" s="10"/>
      <c r="F303" s="53"/>
      <c r="G303" s="9"/>
      <c r="J303" s="17"/>
      <c r="K303" s="17"/>
      <c r="N303" s="10"/>
    </row>
    <row r="304" spans="5:14" x14ac:dyDescent="0.2">
      <c r="E304" s="10"/>
      <c r="F304" s="53"/>
      <c r="G304" s="9"/>
      <c r="J304" s="17"/>
      <c r="K304" s="17"/>
      <c r="N304" s="10"/>
    </row>
    <row r="305" spans="5:14" x14ac:dyDescent="0.2">
      <c r="E305" s="10"/>
      <c r="F305" s="53"/>
      <c r="G305" s="9"/>
      <c r="J305" s="17"/>
      <c r="K305" s="17"/>
      <c r="N305" s="10"/>
    </row>
    <row r="306" spans="5:14" x14ac:dyDescent="0.2">
      <c r="E306" s="10"/>
      <c r="F306" s="53"/>
      <c r="G306" s="9"/>
      <c r="J306" s="17"/>
      <c r="K306" s="17"/>
      <c r="N306" s="10"/>
    </row>
    <row r="307" spans="5:14" x14ac:dyDescent="0.2">
      <c r="E307" s="10"/>
      <c r="F307" s="53"/>
      <c r="G307" s="9"/>
      <c r="J307" s="17"/>
      <c r="K307" s="17"/>
      <c r="N307" s="10"/>
    </row>
    <row r="308" spans="5:14" x14ac:dyDescent="0.2">
      <c r="E308" s="10"/>
      <c r="F308" s="53"/>
      <c r="G308" s="9"/>
      <c r="J308" s="17"/>
      <c r="K308" s="17"/>
      <c r="N308" s="10"/>
    </row>
    <row r="309" spans="5:14" x14ac:dyDescent="0.2">
      <c r="E309" s="10"/>
      <c r="F309" s="53"/>
      <c r="G309" s="9"/>
      <c r="J309" s="17"/>
      <c r="K309" s="17"/>
      <c r="N309" s="10"/>
    </row>
    <row r="310" spans="5:14" x14ac:dyDescent="0.2">
      <c r="E310" s="10"/>
      <c r="F310" s="53"/>
      <c r="G310" s="9"/>
      <c r="J310" s="17"/>
      <c r="K310" s="17"/>
      <c r="N310" s="10"/>
    </row>
    <row r="311" spans="5:14" x14ac:dyDescent="0.2">
      <c r="E311" s="10"/>
      <c r="F311" s="53"/>
      <c r="G311" s="9"/>
      <c r="J311" s="17"/>
      <c r="K311" s="17"/>
      <c r="N311" s="10"/>
    </row>
    <row r="312" spans="5:14" x14ac:dyDescent="0.2">
      <c r="E312" s="10"/>
      <c r="F312" s="53"/>
      <c r="G312" s="9"/>
      <c r="J312" s="17"/>
      <c r="K312" s="17"/>
      <c r="N312" s="10"/>
    </row>
    <row r="313" spans="5:14" x14ac:dyDescent="0.2">
      <c r="E313" s="10"/>
      <c r="F313" s="53"/>
      <c r="G313" s="9"/>
      <c r="J313" s="17"/>
      <c r="K313" s="17"/>
      <c r="N313" s="10"/>
    </row>
    <row r="314" spans="5:14" x14ac:dyDescent="0.2">
      <c r="E314" s="10"/>
      <c r="F314" s="53"/>
      <c r="G314" s="9"/>
      <c r="J314" s="17"/>
      <c r="K314" s="17"/>
      <c r="N314" s="10"/>
    </row>
    <row r="315" spans="5:14" x14ac:dyDescent="0.2">
      <c r="E315" s="10"/>
      <c r="F315" s="53"/>
      <c r="G315" s="9"/>
      <c r="J315" s="17"/>
      <c r="K315" s="17"/>
      <c r="N315" s="10"/>
    </row>
    <row r="316" spans="5:14" x14ac:dyDescent="0.2">
      <c r="E316" s="10"/>
      <c r="F316" s="53"/>
      <c r="G316" s="9"/>
      <c r="J316" s="17"/>
      <c r="K316" s="17"/>
      <c r="N316" s="10"/>
    </row>
    <row r="317" spans="5:14" x14ac:dyDescent="0.2">
      <c r="E317" s="10"/>
      <c r="F317" s="53"/>
      <c r="G317" s="9"/>
      <c r="J317" s="17"/>
      <c r="K317" s="17"/>
      <c r="N317" s="10"/>
    </row>
    <row r="318" spans="5:14" x14ac:dyDescent="0.2">
      <c r="E318" s="10"/>
      <c r="F318" s="53"/>
      <c r="G318" s="9"/>
      <c r="J318" s="17"/>
      <c r="K318" s="17"/>
      <c r="N318" s="10"/>
    </row>
    <row r="319" spans="5:14" x14ac:dyDescent="0.2">
      <c r="E319" s="10"/>
      <c r="F319" s="53"/>
      <c r="G319" s="9"/>
      <c r="J319" s="17"/>
      <c r="K319" s="17"/>
      <c r="N319" s="10"/>
    </row>
    <row r="320" spans="5:14" x14ac:dyDescent="0.2">
      <c r="E320" s="10"/>
      <c r="F320" s="53"/>
      <c r="G320" s="9"/>
      <c r="J320" s="17"/>
      <c r="K320" s="17"/>
      <c r="N320" s="10"/>
    </row>
    <row r="321" spans="5:14" x14ac:dyDescent="0.2">
      <c r="E321" s="10"/>
      <c r="F321" s="53"/>
      <c r="G321" s="9"/>
      <c r="J321" s="17"/>
      <c r="K321" s="17"/>
      <c r="N321" s="10"/>
    </row>
    <row r="322" spans="5:14" x14ac:dyDescent="0.2">
      <c r="E322" s="10"/>
      <c r="F322" s="53"/>
      <c r="G322" s="9"/>
      <c r="J322" s="17"/>
      <c r="K322" s="17"/>
      <c r="N322" s="10"/>
    </row>
    <row r="323" spans="5:14" x14ac:dyDescent="0.2">
      <c r="E323" s="10"/>
      <c r="F323" s="53"/>
      <c r="G323" s="9"/>
      <c r="J323" s="17"/>
      <c r="K323" s="17"/>
      <c r="N323" s="10"/>
    </row>
    <row r="324" spans="5:14" x14ac:dyDescent="0.2">
      <c r="E324" s="10"/>
      <c r="F324" s="53"/>
      <c r="G324" s="9"/>
      <c r="J324" s="17"/>
      <c r="K324" s="17"/>
      <c r="N324" s="10"/>
    </row>
    <row r="325" spans="5:14" x14ac:dyDescent="0.2">
      <c r="E325" s="10"/>
      <c r="F325" s="53"/>
      <c r="G325" s="9"/>
      <c r="J325" s="17"/>
      <c r="K325" s="17"/>
      <c r="N325" s="10"/>
    </row>
    <row r="326" spans="5:14" x14ac:dyDescent="0.2">
      <c r="E326" s="10"/>
      <c r="F326" s="53"/>
      <c r="G326" s="9"/>
      <c r="J326" s="17"/>
      <c r="K326" s="17"/>
      <c r="N326" s="10"/>
    </row>
    <row r="327" spans="5:14" x14ac:dyDescent="0.2">
      <c r="E327" s="10"/>
      <c r="F327" s="53"/>
      <c r="G327" s="9"/>
      <c r="J327" s="17"/>
      <c r="K327" s="17"/>
      <c r="N327" s="10"/>
    </row>
    <row r="328" spans="5:14" x14ac:dyDescent="0.2">
      <c r="E328" s="10"/>
      <c r="F328" s="53"/>
      <c r="G328" s="9"/>
      <c r="J328" s="17"/>
      <c r="K328" s="17"/>
      <c r="N328" s="10"/>
    </row>
    <row r="329" spans="5:14" x14ac:dyDescent="0.2">
      <c r="E329" s="10"/>
      <c r="F329" s="53"/>
      <c r="G329" s="9"/>
      <c r="J329" s="17"/>
      <c r="K329" s="17"/>
      <c r="N329" s="10"/>
    </row>
    <row r="330" spans="5:14" x14ac:dyDescent="0.2">
      <c r="E330" s="10"/>
      <c r="F330" s="53"/>
      <c r="G330" s="9"/>
      <c r="J330" s="17"/>
      <c r="K330" s="17"/>
      <c r="N330" s="10"/>
    </row>
    <row r="331" spans="5:14" x14ac:dyDescent="0.2">
      <c r="E331" s="10"/>
      <c r="F331" s="53"/>
      <c r="G331" s="9"/>
      <c r="J331" s="17"/>
      <c r="K331" s="17"/>
      <c r="N331" s="10"/>
    </row>
    <row r="332" spans="5:14" x14ac:dyDescent="0.2">
      <c r="E332" s="10"/>
      <c r="F332" s="53"/>
      <c r="G332" s="9"/>
      <c r="J332" s="17"/>
      <c r="K332" s="17"/>
      <c r="N332" s="10"/>
    </row>
    <row r="333" spans="5:14" x14ac:dyDescent="0.2">
      <c r="E333" s="10"/>
      <c r="F333" s="53"/>
      <c r="G333" s="9"/>
      <c r="J333" s="17"/>
      <c r="K333" s="17"/>
      <c r="N333" s="10"/>
    </row>
    <row r="334" spans="5:14" x14ac:dyDescent="0.2">
      <c r="E334" s="10"/>
      <c r="F334" s="53"/>
      <c r="G334" s="9"/>
      <c r="J334" s="17"/>
      <c r="K334" s="17"/>
      <c r="N334" s="10"/>
    </row>
    <row r="335" spans="5:14" x14ac:dyDescent="0.2">
      <c r="E335" s="10"/>
      <c r="F335" s="53"/>
      <c r="G335" s="9"/>
      <c r="J335" s="17"/>
      <c r="K335" s="17"/>
      <c r="N335" s="10"/>
    </row>
    <row r="336" spans="5:14" x14ac:dyDescent="0.2">
      <c r="E336" s="10"/>
      <c r="F336" s="53"/>
      <c r="G336" s="9"/>
      <c r="J336" s="17"/>
      <c r="K336" s="17"/>
      <c r="N336" s="10"/>
    </row>
    <row r="337" spans="5:14" x14ac:dyDescent="0.2">
      <c r="E337" s="10"/>
      <c r="F337" s="53"/>
      <c r="G337" s="9"/>
      <c r="J337" s="17"/>
      <c r="K337" s="17"/>
      <c r="N337" s="10"/>
    </row>
    <row r="338" spans="5:14" x14ac:dyDescent="0.2">
      <c r="E338" s="10"/>
      <c r="F338" s="53"/>
      <c r="G338" s="9"/>
      <c r="J338" s="17"/>
      <c r="K338" s="17"/>
      <c r="N338" s="10"/>
    </row>
    <row r="339" spans="5:14" x14ac:dyDescent="0.2">
      <c r="E339" s="10"/>
      <c r="F339" s="53"/>
      <c r="G339" s="9"/>
      <c r="J339" s="17"/>
      <c r="K339" s="17"/>
      <c r="N339" s="10"/>
    </row>
    <row r="340" spans="5:14" x14ac:dyDescent="0.2">
      <c r="E340" s="10"/>
      <c r="F340" s="53"/>
      <c r="G340" s="9"/>
      <c r="J340" s="17"/>
      <c r="K340" s="17"/>
      <c r="N340" s="10"/>
    </row>
    <row r="341" spans="5:14" x14ac:dyDescent="0.2">
      <c r="E341" s="10"/>
      <c r="F341" s="53"/>
      <c r="G341" s="9"/>
      <c r="J341" s="17"/>
      <c r="K341" s="17"/>
      <c r="N341" s="10"/>
    </row>
    <row r="342" spans="5:14" x14ac:dyDescent="0.2">
      <c r="E342" s="10"/>
      <c r="F342" s="53"/>
      <c r="G342" s="9"/>
      <c r="J342" s="17"/>
      <c r="K342" s="17"/>
      <c r="N342" s="10"/>
    </row>
    <row r="343" spans="5:14" x14ac:dyDescent="0.2">
      <c r="E343" s="10"/>
      <c r="F343" s="53"/>
      <c r="G343" s="9"/>
      <c r="J343" s="17"/>
      <c r="K343" s="17"/>
      <c r="N343" s="10"/>
    </row>
    <row r="344" spans="5:14" x14ac:dyDescent="0.2">
      <c r="E344" s="10"/>
      <c r="F344" s="53"/>
      <c r="G344" s="9"/>
      <c r="J344" s="17"/>
      <c r="K344" s="17"/>
      <c r="N344" s="10"/>
    </row>
    <row r="345" spans="5:14" x14ac:dyDescent="0.2">
      <c r="E345" s="10"/>
      <c r="F345" s="53"/>
      <c r="G345" s="9"/>
      <c r="J345" s="17"/>
      <c r="K345" s="17"/>
      <c r="N345" s="10"/>
    </row>
    <row r="346" spans="5:14" x14ac:dyDescent="0.2">
      <c r="E346" s="10"/>
      <c r="F346" s="53"/>
      <c r="G346" s="9"/>
      <c r="J346" s="17"/>
      <c r="K346" s="17"/>
      <c r="N346" s="10"/>
    </row>
    <row r="347" spans="5:14" x14ac:dyDescent="0.2">
      <c r="E347" s="10"/>
      <c r="F347" s="53"/>
      <c r="G347" s="9"/>
      <c r="J347" s="17"/>
      <c r="K347" s="17"/>
      <c r="N347" s="10"/>
    </row>
    <row r="348" spans="5:14" x14ac:dyDescent="0.2">
      <c r="E348" s="10"/>
      <c r="F348" s="53"/>
      <c r="G348" s="9"/>
      <c r="J348" s="17"/>
      <c r="K348" s="17"/>
      <c r="N348" s="10"/>
    </row>
    <row r="349" spans="5:14" x14ac:dyDescent="0.2">
      <c r="E349" s="10"/>
      <c r="F349" s="53"/>
      <c r="G349" s="9"/>
      <c r="J349" s="17"/>
      <c r="K349" s="17"/>
      <c r="N349" s="10"/>
    </row>
    <row r="350" spans="5:14" x14ac:dyDescent="0.2">
      <c r="E350" s="10"/>
      <c r="F350" s="53"/>
      <c r="G350" s="9"/>
      <c r="J350" s="17"/>
      <c r="K350" s="17"/>
      <c r="N350" s="10"/>
    </row>
    <row r="351" spans="5:14" x14ac:dyDescent="0.2">
      <c r="E351" s="10"/>
      <c r="F351" s="53"/>
      <c r="G351" s="9"/>
      <c r="J351" s="17"/>
      <c r="K351" s="17"/>
      <c r="N351" s="10"/>
    </row>
    <row r="352" spans="5:14" x14ac:dyDescent="0.2">
      <c r="E352" s="10"/>
      <c r="F352" s="53"/>
      <c r="G352" s="9"/>
      <c r="J352" s="17"/>
      <c r="K352" s="17"/>
      <c r="N352" s="10"/>
    </row>
    <row r="353" spans="5:14" x14ac:dyDescent="0.2">
      <c r="E353" s="10"/>
      <c r="F353" s="53"/>
      <c r="G353" s="9"/>
      <c r="J353" s="17"/>
      <c r="K353" s="17"/>
      <c r="N353" s="10"/>
    </row>
    <row r="354" spans="5:14" x14ac:dyDescent="0.2">
      <c r="E354" s="10"/>
      <c r="F354" s="53"/>
      <c r="G354" s="9"/>
      <c r="J354" s="17"/>
      <c r="K354" s="17"/>
      <c r="N354" s="10"/>
    </row>
    <row r="355" spans="5:14" x14ac:dyDescent="0.2">
      <c r="E355" s="10"/>
      <c r="F355" s="53"/>
      <c r="G355" s="9"/>
      <c r="J355" s="17"/>
      <c r="K355" s="17"/>
      <c r="N355" s="10"/>
    </row>
    <row r="356" spans="5:14" x14ac:dyDescent="0.2">
      <c r="E356" s="10"/>
      <c r="F356" s="53"/>
      <c r="G356" s="9"/>
      <c r="J356" s="17"/>
      <c r="K356" s="17"/>
      <c r="N356" s="10"/>
    </row>
    <row r="357" spans="5:14" x14ac:dyDescent="0.2">
      <c r="E357" s="10"/>
      <c r="F357" s="53"/>
      <c r="G357" s="9"/>
      <c r="J357" s="17"/>
      <c r="K357" s="17"/>
      <c r="N357" s="10"/>
    </row>
    <row r="358" spans="5:14" x14ac:dyDescent="0.2">
      <c r="E358" s="10"/>
      <c r="F358" s="53"/>
      <c r="G358" s="9"/>
      <c r="J358" s="17"/>
      <c r="K358" s="17"/>
      <c r="N358" s="10"/>
    </row>
    <row r="359" spans="5:14" x14ac:dyDescent="0.2">
      <c r="E359" s="10"/>
      <c r="F359" s="53"/>
      <c r="G359" s="9"/>
      <c r="J359" s="17"/>
      <c r="K359" s="17"/>
      <c r="N359" s="10"/>
    </row>
    <row r="360" spans="5:14" x14ac:dyDescent="0.2">
      <c r="E360" s="10"/>
      <c r="F360" s="53"/>
      <c r="G360" s="9"/>
      <c r="J360" s="17"/>
      <c r="K360" s="17"/>
      <c r="N360" s="10"/>
    </row>
    <row r="361" spans="5:14" x14ac:dyDescent="0.2">
      <c r="E361" s="10"/>
      <c r="F361" s="53"/>
      <c r="G361" s="9"/>
      <c r="J361" s="17"/>
      <c r="K361" s="17"/>
      <c r="N361" s="10"/>
    </row>
    <row r="362" spans="5:14" x14ac:dyDescent="0.2">
      <c r="E362" s="10"/>
      <c r="F362" s="53"/>
      <c r="G362" s="9"/>
      <c r="J362" s="17"/>
      <c r="K362" s="17"/>
      <c r="N362" s="10"/>
    </row>
    <row r="363" spans="5:14" x14ac:dyDescent="0.2">
      <c r="E363" s="10"/>
      <c r="F363" s="53"/>
      <c r="G363" s="9"/>
      <c r="J363" s="17"/>
      <c r="K363" s="17"/>
      <c r="N363" s="10"/>
    </row>
    <row r="364" spans="5:14" x14ac:dyDescent="0.2">
      <c r="E364" s="10"/>
      <c r="F364" s="53"/>
      <c r="G364" s="9"/>
      <c r="J364" s="17"/>
      <c r="K364" s="17"/>
      <c r="N364" s="10"/>
    </row>
    <row r="365" spans="5:14" x14ac:dyDescent="0.2">
      <c r="E365" s="10"/>
      <c r="F365" s="53"/>
      <c r="G365" s="9"/>
      <c r="J365" s="17"/>
      <c r="K365" s="17"/>
      <c r="N365" s="10"/>
    </row>
    <row r="366" spans="5:14" x14ac:dyDescent="0.2">
      <c r="E366" s="10"/>
      <c r="F366" s="53"/>
      <c r="G366" s="9"/>
      <c r="J366" s="17"/>
      <c r="K366" s="17"/>
      <c r="N366" s="10"/>
    </row>
    <row r="367" spans="5:14" x14ac:dyDescent="0.2">
      <c r="E367" s="10"/>
      <c r="F367" s="53"/>
      <c r="G367" s="9"/>
      <c r="J367" s="17"/>
      <c r="K367" s="17"/>
      <c r="N367" s="10"/>
    </row>
    <row r="368" spans="5:14" x14ac:dyDescent="0.2">
      <c r="E368" s="10"/>
      <c r="F368" s="53"/>
      <c r="G368" s="9"/>
      <c r="J368" s="17"/>
      <c r="K368" s="17"/>
      <c r="N368" s="10"/>
    </row>
    <row r="369" spans="5:14" x14ac:dyDescent="0.2">
      <c r="E369" s="10"/>
      <c r="F369" s="53"/>
      <c r="G369" s="9"/>
      <c r="J369" s="17"/>
      <c r="K369" s="17"/>
      <c r="N369" s="10"/>
    </row>
    <row r="370" spans="5:14" x14ac:dyDescent="0.2">
      <c r="E370" s="10"/>
      <c r="F370" s="53"/>
      <c r="G370" s="9"/>
      <c r="J370" s="17"/>
      <c r="K370" s="17"/>
      <c r="N370" s="10"/>
    </row>
    <row r="371" spans="5:14" x14ac:dyDescent="0.2">
      <c r="E371" s="10"/>
      <c r="F371" s="53"/>
      <c r="G371" s="9"/>
      <c r="J371" s="17"/>
      <c r="K371" s="17"/>
      <c r="N371" s="10"/>
    </row>
    <row r="372" spans="5:14" x14ac:dyDescent="0.2">
      <c r="E372" s="10"/>
      <c r="F372" s="53"/>
      <c r="G372" s="9"/>
      <c r="J372" s="17"/>
      <c r="K372" s="17"/>
      <c r="N372" s="10"/>
    </row>
    <row r="373" spans="5:14" x14ac:dyDescent="0.2">
      <c r="E373" s="10"/>
      <c r="F373" s="53"/>
      <c r="G373" s="9"/>
      <c r="J373" s="17"/>
      <c r="K373" s="17"/>
      <c r="N373" s="10"/>
    </row>
    <row r="374" spans="5:14" x14ac:dyDescent="0.2">
      <c r="E374" s="10"/>
      <c r="F374" s="53"/>
      <c r="G374" s="9"/>
      <c r="J374" s="17"/>
      <c r="K374" s="17"/>
      <c r="N374" s="10"/>
    </row>
    <row r="375" spans="5:14" x14ac:dyDescent="0.2">
      <c r="E375" s="10"/>
      <c r="F375" s="53"/>
      <c r="G375" s="9"/>
      <c r="J375" s="17"/>
      <c r="K375" s="17"/>
      <c r="N375" s="10"/>
    </row>
    <row r="376" spans="5:14" x14ac:dyDescent="0.2">
      <c r="E376" s="10"/>
      <c r="F376" s="53"/>
      <c r="G376" s="9"/>
      <c r="J376" s="17"/>
      <c r="K376" s="17"/>
      <c r="N376" s="10"/>
    </row>
    <row r="377" spans="5:14" x14ac:dyDescent="0.2">
      <c r="E377" s="10"/>
      <c r="F377" s="53"/>
      <c r="G377" s="9"/>
      <c r="J377" s="17"/>
      <c r="K377" s="17"/>
      <c r="N377" s="10"/>
    </row>
    <row r="378" spans="5:14" x14ac:dyDescent="0.2">
      <c r="E378" s="10"/>
      <c r="F378" s="53"/>
      <c r="G378" s="9"/>
      <c r="J378" s="17"/>
      <c r="K378" s="17"/>
      <c r="N378" s="10"/>
    </row>
    <row r="379" spans="5:14" x14ac:dyDescent="0.2">
      <c r="E379" s="10"/>
      <c r="F379" s="53"/>
      <c r="G379" s="9"/>
      <c r="J379" s="17"/>
      <c r="K379" s="17"/>
      <c r="N379" s="10"/>
    </row>
    <row r="380" spans="5:14" x14ac:dyDescent="0.2">
      <c r="E380" s="10"/>
      <c r="F380" s="53"/>
      <c r="G380" s="9"/>
      <c r="J380" s="17"/>
      <c r="K380" s="17"/>
      <c r="N380" s="10"/>
    </row>
    <row r="381" spans="5:14" x14ac:dyDescent="0.2">
      <c r="E381" s="10"/>
      <c r="F381" s="53"/>
      <c r="G381" s="9"/>
      <c r="J381" s="17"/>
      <c r="K381" s="17"/>
      <c r="N381" s="10"/>
    </row>
    <row r="382" spans="5:14" x14ac:dyDescent="0.2">
      <c r="E382" s="10"/>
      <c r="F382" s="53"/>
      <c r="G382" s="9"/>
      <c r="J382" s="17"/>
      <c r="K382" s="17"/>
      <c r="N382" s="10"/>
    </row>
    <row r="383" spans="5:14" x14ac:dyDescent="0.2">
      <c r="E383" s="10"/>
      <c r="F383" s="53"/>
      <c r="G383" s="9"/>
      <c r="J383" s="17"/>
      <c r="K383" s="17"/>
      <c r="N383" s="10"/>
    </row>
    <row r="384" spans="5:14" x14ac:dyDescent="0.2">
      <c r="E384" s="10"/>
      <c r="F384" s="53"/>
      <c r="G384" s="9"/>
      <c r="J384" s="17"/>
      <c r="K384" s="17"/>
      <c r="N384" s="10"/>
    </row>
    <row r="385" spans="5:14" x14ac:dyDescent="0.2">
      <c r="E385" s="10"/>
      <c r="F385" s="53"/>
      <c r="G385" s="9"/>
      <c r="J385" s="17"/>
      <c r="K385" s="17"/>
      <c r="N385" s="10"/>
    </row>
    <row r="386" spans="5:14" x14ac:dyDescent="0.2">
      <c r="E386" s="10"/>
      <c r="F386" s="53"/>
      <c r="G386" s="9"/>
      <c r="J386" s="17"/>
      <c r="K386" s="17"/>
      <c r="N386" s="10"/>
    </row>
    <row r="387" spans="5:14" x14ac:dyDescent="0.2">
      <c r="E387" s="10"/>
      <c r="F387" s="53"/>
      <c r="G387" s="9"/>
      <c r="J387" s="17"/>
      <c r="K387" s="17"/>
      <c r="N387" s="10"/>
    </row>
    <row r="388" spans="5:14" x14ac:dyDescent="0.2">
      <c r="E388" s="10"/>
      <c r="F388" s="53"/>
      <c r="G388" s="9"/>
      <c r="J388" s="17"/>
      <c r="K388" s="17"/>
      <c r="N388" s="10"/>
    </row>
    <row r="389" spans="5:14" x14ac:dyDescent="0.2">
      <c r="E389" s="10"/>
      <c r="F389" s="53"/>
      <c r="G389" s="9"/>
      <c r="J389" s="17"/>
      <c r="K389" s="17"/>
      <c r="N389" s="10"/>
    </row>
    <row r="390" spans="5:14" x14ac:dyDescent="0.2">
      <c r="E390" s="10"/>
      <c r="F390" s="53"/>
      <c r="G390" s="9"/>
      <c r="J390" s="17"/>
      <c r="K390" s="17"/>
      <c r="N390" s="10"/>
    </row>
    <row r="391" spans="5:14" x14ac:dyDescent="0.2">
      <c r="E391" s="10"/>
      <c r="F391" s="53"/>
      <c r="G391" s="9"/>
      <c r="J391" s="17"/>
      <c r="K391" s="17"/>
      <c r="N391" s="10"/>
    </row>
    <row r="392" spans="5:14" x14ac:dyDescent="0.2">
      <c r="E392" s="10"/>
      <c r="F392" s="53"/>
      <c r="G392" s="9"/>
      <c r="J392" s="17"/>
      <c r="K392" s="17"/>
      <c r="N392" s="10"/>
    </row>
    <row r="393" spans="5:14" x14ac:dyDescent="0.2">
      <c r="E393" s="10"/>
      <c r="F393" s="53"/>
      <c r="G393" s="9"/>
      <c r="J393" s="17"/>
      <c r="K393" s="17"/>
      <c r="N393" s="10"/>
    </row>
    <row r="394" spans="5:14" x14ac:dyDescent="0.2">
      <c r="E394" s="10"/>
      <c r="F394" s="53"/>
      <c r="G394" s="9"/>
      <c r="J394" s="17"/>
      <c r="K394" s="17"/>
      <c r="N394" s="10"/>
    </row>
    <row r="395" spans="5:14" x14ac:dyDescent="0.2">
      <c r="E395" s="10"/>
      <c r="F395" s="53"/>
      <c r="G395" s="9"/>
      <c r="J395" s="17"/>
      <c r="K395" s="17"/>
      <c r="N395" s="10"/>
    </row>
    <row r="396" spans="5:14" x14ac:dyDescent="0.2">
      <c r="E396" s="10"/>
      <c r="F396" s="53"/>
      <c r="G396" s="9"/>
      <c r="J396" s="17"/>
      <c r="K396" s="17"/>
      <c r="N396" s="10"/>
    </row>
    <row r="397" spans="5:14" x14ac:dyDescent="0.2">
      <c r="E397" s="10"/>
      <c r="F397" s="53"/>
      <c r="G397" s="9"/>
      <c r="J397" s="17"/>
      <c r="K397" s="17"/>
      <c r="N397" s="10"/>
    </row>
    <row r="398" spans="5:14" x14ac:dyDescent="0.2">
      <c r="E398" s="10"/>
      <c r="F398" s="53"/>
      <c r="G398" s="9"/>
      <c r="J398" s="17"/>
      <c r="K398" s="17"/>
      <c r="N398" s="10"/>
    </row>
    <row r="399" spans="5:14" x14ac:dyDescent="0.2">
      <c r="E399" s="10"/>
      <c r="F399" s="53"/>
      <c r="G399" s="9"/>
      <c r="J399" s="17"/>
      <c r="K399" s="17"/>
      <c r="N399" s="10"/>
    </row>
    <row r="400" spans="5:14" x14ac:dyDescent="0.2">
      <c r="E400" s="10"/>
      <c r="F400" s="53"/>
      <c r="G400" s="9"/>
      <c r="J400" s="17"/>
      <c r="K400" s="17"/>
      <c r="N400" s="10"/>
    </row>
    <row r="401" spans="5:14" x14ac:dyDescent="0.2">
      <c r="E401" s="10"/>
      <c r="F401" s="53"/>
      <c r="G401" s="9"/>
      <c r="J401" s="17"/>
      <c r="K401" s="17"/>
      <c r="N401" s="10"/>
    </row>
    <row r="402" spans="5:14" x14ac:dyDescent="0.2">
      <c r="E402" s="10"/>
      <c r="F402" s="53"/>
      <c r="G402" s="9"/>
      <c r="J402" s="17"/>
      <c r="K402" s="17"/>
      <c r="N402" s="10"/>
    </row>
    <row r="403" spans="5:14" x14ac:dyDescent="0.2">
      <c r="E403" s="10"/>
      <c r="F403" s="53"/>
      <c r="G403" s="9"/>
      <c r="J403" s="17"/>
      <c r="K403" s="17"/>
      <c r="N403" s="10"/>
    </row>
    <row r="404" spans="5:14" x14ac:dyDescent="0.2">
      <c r="E404" s="10"/>
      <c r="F404" s="53"/>
      <c r="G404" s="9"/>
      <c r="J404" s="17"/>
      <c r="K404" s="17"/>
      <c r="N404" s="10"/>
    </row>
    <row r="405" spans="5:14" x14ac:dyDescent="0.2">
      <c r="E405" s="10"/>
      <c r="F405" s="53"/>
      <c r="G405" s="9"/>
      <c r="J405" s="17"/>
      <c r="K405" s="17"/>
      <c r="N405" s="10"/>
    </row>
    <row r="406" spans="5:14" x14ac:dyDescent="0.2">
      <c r="E406" s="10"/>
      <c r="F406" s="53"/>
      <c r="G406" s="9"/>
      <c r="J406" s="17"/>
      <c r="K406" s="17"/>
      <c r="N406" s="10"/>
    </row>
    <row r="407" spans="5:14" x14ac:dyDescent="0.2">
      <c r="E407" s="10"/>
      <c r="F407" s="53"/>
      <c r="G407" s="9"/>
      <c r="J407" s="17"/>
      <c r="K407" s="17"/>
      <c r="N407" s="10"/>
    </row>
    <row r="408" spans="5:14" x14ac:dyDescent="0.2">
      <c r="E408" s="10"/>
      <c r="F408" s="53"/>
      <c r="G408" s="9"/>
      <c r="J408" s="17"/>
      <c r="K408" s="17"/>
      <c r="N408" s="10"/>
    </row>
    <row r="409" spans="5:14" x14ac:dyDescent="0.2">
      <c r="E409" s="10"/>
      <c r="F409" s="53"/>
      <c r="G409" s="9"/>
      <c r="J409" s="17"/>
      <c r="K409" s="17"/>
      <c r="N409" s="10"/>
    </row>
    <row r="410" spans="5:14" x14ac:dyDescent="0.2">
      <c r="E410" s="10"/>
      <c r="F410" s="53"/>
      <c r="G410" s="9"/>
      <c r="J410" s="17"/>
      <c r="K410" s="17"/>
      <c r="N410" s="10"/>
    </row>
    <row r="411" spans="5:14" x14ac:dyDescent="0.2">
      <c r="E411" s="10"/>
      <c r="F411" s="53"/>
      <c r="G411" s="9"/>
      <c r="J411" s="17"/>
      <c r="K411" s="17"/>
      <c r="N411" s="10"/>
    </row>
    <row r="412" spans="5:14" x14ac:dyDescent="0.2">
      <c r="E412" s="10"/>
      <c r="F412" s="53"/>
      <c r="G412" s="9"/>
      <c r="J412" s="17"/>
      <c r="K412" s="17"/>
      <c r="N412" s="10"/>
    </row>
    <row r="413" spans="5:14" x14ac:dyDescent="0.2">
      <c r="E413" s="10"/>
      <c r="F413" s="53"/>
      <c r="G413" s="9"/>
      <c r="J413" s="17"/>
      <c r="K413" s="17"/>
      <c r="N413" s="10"/>
    </row>
    <row r="414" spans="5:14" x14ac:dyDescent="0.2">
      <c r="E414" s="10"/>
      <c r="F414" s="53"/>
      <c r="G414" s="9"/>
      <c r="J414" s="17"/>
      <c r="K414" s="17"/>
      <c r="N414" s="10"/>
    </row>
    <row r="415" spans="5:14" x14ac:dyDescent="0.2">
      <c r="E415" s="10"/>
      <c r="F415" s="53"/>
      <c r="G415" s="9"/>
      <c r="J415" s="17"/>
      <c r="K415" s="17"/>
      <c r="N415" s="10"/>
    </row>
    <row r="416" spans="5:14" x14ac:dyDescent="0.2">
      <c r="E416" s="10"/>
      <c r="F416" s="53"/>
      <c r="G416" s="9"/>
      <c r="J416" s="17"/>
      <c r="K416" s="17"/>
      <c r="N416" s="10"/>
    </row>
    <row r="417" spans="5:14" x14ac:dyDescent="0.2">
      <c r="E417" s="10"/>
      <c r="F417" s="53"/>
      <c r="G417" s="9"/>
      <c r="J417" s="17"/>
      <c r="K417" s="17"/>
      <c r="N417" s="10"/>
    </row>
    <row r="418" spans="5:14" x14ac:dyDescent="0.2">
      <c r="E418" s="10"/>
      <c r="F418" s="53"/>
      <c r="G418" s="9"/>
      <c r="J418" s="17"/>
      <c r="K418" s="17"/>
      <c r="N418" s="10"/>
    </row>
    <row r="419" spans="5:14" x14ac:dyDescent="0.2">
      <c r="E419" s="10"/>
      <c r="F419" s="53"/>
      <c r="G419" s="9"/>
      <c r="J419" s="17"/>
      <c r="K419" s="17"/>
      <c r="N419" s="10"/>
    </row>
    <row r="420" spans="5:14" x14ac:dyDescent="0.2">
      <c r="E420" s="10"/>
      <c r="F420" s="53"/>
      <c r="G420" s="9"/>
      <c r="J420" s="17"/>
      <c r="K420" s="17"/>
      <c r="N420" s="10"/>
    </row>
    <row r="421" spans="5:14" x14ac:dyDescent="0.2">
      <c r="E421" s="10"/>
      <c r="F421" s="53"/>
      <c r="G421" s="9"/>
      <c r="J421" s="17"/>
      <c r="K421" s="17"/>
      <c r="N421" s="10"/>
    </row>
    <row r="422" spans="5:14" x14ac:dyDescent="0.2">
      <c r="E422" s="10"/>
      <c r="F422" s="53"/>
      <c r="G422" s="9"/>
      <c r="J422" s="17"/>
      <c r="K422" s="17"/>
      <c r="N422" s="10"/>
    </row>
    <row r="423" spans="5:14" x14ac:dyDescent="0.2">
      <c r="E423" s="10"/>
      <c r="F423" s="53"/>
      <c r="G423" s="9"/>
      <c r="J423" s="17"/>
      <c r="K423" s="17"/>
      <c r="N423" s="10"/>
    </row>
    <row r="424" spans="5:14" x14ac:dyDescent="0.2">
      <c r="E424" s="10"/>
      <c r="F424" s="53"/>
      <c r="G424" s="9"/>
      <c r="J424" s="17"/>
      <c r="K424" s="17"/>
      <c r="N424" s="10"/>
    </row>
    <row r="425" spans="5:14" x14ac:dyDescent="0.2">
      <c r="E425" s="10"/>
      <c r="F425" s="53"/>
      <c r="G425" s="9"/>
      <c r="J425" s="17"/>
      <c r="K425" s="17"/>
      <c r="N425" s="10"/>
    </row>
    <row r="426" spans="5:14" x14ac:dyDescent="0.2">
      <c r="E426" s="10"/>
      <c r="F426" s="53"/>
      <c r="G426" s="9"/>
      <c r="J426" s="17"/>
      <c r="K426" s="17"/>
      <c r="N426" s="10"/>
    </row>
    <row r="427" spans="5:14" x14ac:dyDescent="0.2">
      <c r="E427" s="10"/>
      <c r="F427" s="53"/>
      <c r="G427" s="9"/>
      <c r="J427" s="17"/>
      <c r="K427" s="17"/>
      <c r="N427" s="10"/>
    </row>
    <row r="428" spans="5:14" x14ac:dyDescent="0.2">
      <c r="E428" s="10"/>
      <c r="F428" s="53"/>
      <c r="G428" s="9"/>
      <c r="J428" s="17"/>
      <c r="K428" s="17"/>
      <c r="N428" s="10"/>
    </row>
    <row r="429" spans="5:14" x14ac:dyDescent="0.2">
      <c r="E429" s="10"/>
      <c r="F429" s="53"/>
      <c r="G429" s="9"/>
      <c r="J429" s="17"/>
      <c r="K429" s="17"/>
      <c r="N429" s="10"/>
    </row>
    <row r="430" spans="5:14" x14ac:dyDescent="0.2">
      <c r="E430" s="10"/>
      <c r="F430" s="53"/>
      <c r="G430" s="9"/>
      <c r="J430" s="17"/>
      <c r="K430" s="17"/>
      <c r="N430" s="10"/>
    </row>
    <row r="431" spans="5:14" x14ac:dyDescent="0.2">
      <c r="E431" s="10"/>
      <c r="F431" s="53"/>
      <c r="G431" s="9"/>
      <c r="J431" s="17"/>
      <c r="K431" s="17"/>
      <c r="N431" s="10"/>
    </row>
    <row r="432" spans="5:14" x14ac:dyDescent="0.2">
      <c r="E432" s="10"/>
      <c r="F432" s="53"/>
      <c r="G432" s="9"/>
      <c r="J432" s="17"/>
      <c r="K432" s="17"/>
      <c r="N432" s="10"/>
    </row>
    <row r="433" spans="5:14" x14ac:dyDescent="0.2">
      <c r="E433" s="10"/>
      <c r="F433" s="53"/>
      <c r="G433" s="9"/>
      <c r="J433" s="17"/>
      <c r="K433" s="17"/>
      <c r="N433" s="10"/>
    </row>
    <row r="434" spans="5:14" x14ac:dyDescent="0.2">
      <c r="E434" s="10"/>
      <c r="F434" s="53"/>
      <c r="G434" s="9"/>
      <c r="J434" s="17"/>
      <c r="K434" s="17"/>
      <c r="N434" s="10"/>
    </row>
    <row r="435" spans="5:14" x14ac:dyDescent="0.2">
      <c r="E435" s="10"/>
      <c r="F435" s="53"/>
      <c r="G435" s="9"/>
      <c r="J435" s="17"/>
      <c r="K435" s="17"/>
      <c r="N435" s="10"/>
    </row>
    <row r="436" spans="5:14" x14ac:dyDescent="0.2">
      <c r="E436" s="10"/>
      <c r="F436" s="53"/>
      <c r="G436" s="9"/>
      <c r="J436" s="17"/>
      <c r="K436" s="17"/>
      <c r="N436" s="10"/>
    </row>
    <row r="437" spans="5:14" x14ac:dyDescent="0.2">
      <c r="E437" s="10"/>
      <c r="F437" s="53"/>
      <c r="G437" s="9"/>
      <c r="J437" s="17"/>
      <c r="K437" s="17"/>
      <c r="N437" s="10"/>
    </row>
    <row r="438" spans="5:14" x14ac:dyDescent="0.2">
      <c r="E438" s="10"/>
      <c r="F438" s="53"/>
      <c r="G438" s="9"/>
      <c r="J438" s="17"/>
      <c r="K438" s="17"/>
      <c r="N438" s="10"/>
    </row>
    <row r="439" spans="5:14" x14ac:dyDescent="0.2">
      <c r="E439" s="10"/>
      <c r="F439" s="53"/>
      <c r="G439" s="9"/>
      <c r="J439" s="17"/>
      <c r="K439" s="17"/>
      <c r="N439" s="10"/>
    </row>
    <row r="440" spans="5:14" x14ac:dyDescent="0.2">
      <c r="E440" s="10"/>
      <c r="F440" s="53"/>
      <c r="G440" s="9"/>
      <c r="J440" s="17"/>
      <c r="K440" s="17"/>
      <c r="N440" s="10"/>
    </row>
    <row r="441" spans="5:14" x14ac:dyDescent="0.2">
      <c r="E441" s="10"/>
      <c r="F441" s="53"/>
      <c r="G441" s="9"/>
      <c r="J441" s="17"/>
      <c r="K441" s="17"/>
      <c r="N441" s="10"/>
    </row>
    <row r="442" spans="5:14" x14ac:dyDescent="0.2">
      <c r="E442" s="10"/>
      <c r="F442" s="53"/>
      <c r="G442" s="9"/>
      <c r="J442" s="17"/>
      <c r="K442" s="17"/>
      <c r="N442" s="10"/>
    </row>
    <row r="443" spans="5:14" x14ac:dyDescent="0.2">
      <c r="E443" s="10"/>
      <c r="F443" s="53"/>
      <c r="G443" s="9"/>
      <c r="J443" s="17"/>
      <c r="K443" s="17"/>
      <c r="N443" s="10"/>
    </row>
    <row r="444" spans="5:14" x14ac:dyDescent="0.2">
      <c r="E444" s="10"/>
      <c r="F444" s="53"/>
      <c r="G444" s="9"/>
      <c r="J444" s="17"/>
      <c r="K444" s="17"/>
      <c r="N444" s="10"/>
    </row>
    <row r="445" spans="5:14" x14ac:dyDescent="0.2">
      <c r="E445" s="10"/>
      <c r="F445" s="53"/>
      <c r="G445" s="9"/>
      <c r="J445" s="17"/>
      <c r="K445" s="17"/>
      <c r="N445" s="10"/>
    </row>
    <row r="446" spans="5:14" x14ac:dyDescent="0.2">
      <c r="E446" s="10"/>
      <c r="F446" s="53"/>
      <c r="G446" s="9"/>
      <c r="J446" s="17"/>
      <c r="K446" s="17"/>
      <c r="N446" s="10"/>
    </row>
    <row r="447" spans="5:14" x14ac:dyDescent="0.2">
      <c r="E447" s="10"/>
      <c r="F447" s="53"/>
      <c r="G447" s="9"/>
      <c r="J447" s="17"/>
      <c r="K447" s="17"/>
      <c r="N447" s="10"/>
    </row>
    <row r="448" spans="5:14" x14ac:dyDescent="0.2">
      <c r="E448" s="10"/>
      <c r="F448" s="53"/>
      <c r="G448" s="9"/>
      <c r="J448" s="17"/>
      <c r="K448" s="17"/>
      <c r="N448" s="10"/>
    </row>
    <row r="449" spans="5:14" x14ac:dyDescent="0.2">
      <c r="E449" s="10"/>
      <c r="F449" s="53"/>
      <c r="G449" s="9"/>
      <c r="J449" s="17"/>
      <c r="K449" s="17"/>
      <c r="N449" s="10"/>
    </row>
    <row r="450" spans="5:14" x14ac:dyDescent="0.2">
      <c r="E450" s="10"/>
      <c r="F450" s="53"/>
      <c r="G450" s="9"/>
      <c r="J450" s="17"/>
      <c r="K450" s="17"/>
      <c r="N450" s="10"/>
    </row>
    <row r="451" spans="5:14" x14ac:dyDescent="0.2">
      <c r="E451" s="10"/>
      <c r="F451" s="53"/>
      <c r="G451" s="9"/>
      <c r="J451" s="17"/>
      <c r="K451" s="17"/>
      <c r="N451" s="10"/>
    </row>
    <row r="452" spans="5:14" x14ac:dyDescent="0.2">
      <c r="E452" s="10"/>
      <c r="F452" s="53"/>
      <c r="G452" s="9"/>
      <c r="J452" s="17"/>
      <c r="K452" s="17"/>
      <c r="N452" s="10"/>
    </row>
    <row r="453" spans="5:14" x14ac:dyDescent="0.2">
      <c r="E453" s="10"/>
      <c r="F453" s="53"/>
      <c r="G453" s="9"/>
      <c r="J453" s="17"/>
      <c r="K453" s="17"/>
      <c r="N453" s="10"/>
    </row>
    <row r="454" spans="5:14" x14ac:dyDescent="0.2">
      <c r="E454" s="10"/>
      <c r="F454" s="53"/>
      <c r="G454" s="9"/>
      <c r="J454" s="17"/>
      <c r="K454" s="17"/>
      <c r="N454" s="10"/>
    </row>
    <row r="455" spans="5:14" x14ac:dyDescent="0.2">
      <c r="E455" s="10"/>
      <c r="F455" s="53"/>
      <c r="G455" s="9"/>
      <c r="J455" s="17"/>
      <c r="K455" s="17"/>
      <c r="N455" s="10"/>
    </row>
    <row r="456" spans="5:14" x14ac:dyDescent="0.2">
      <c r="E456" s="10"/>
      <c r="F456" s="53"/>
      <c r="G456" s="9"/>
      <c r="J456" s="17"/>
      <c r="K456" s="17"/>
      <c r="N456" s="10"/>
    </row>
    <row r="457" spans="5:14" x14ac:dyDescent="0.2">
      <c r="E457" s="10"/>
      <c r="F457" s="53"/>
      <c r="G457" s="9"/>
      <c r="J457" s="17"/>
      <c r="K457" s="17"/>
      <c r="N457" s="10"/>
    </row>
    <row r="458" spans="5:14" x14ac:dyDescent="0.2">
      <c r="E458" s="10"/>
      <c r="F458" s="53"/>
      <c r="G458" s="9"/>
      <c r="J458" s="17"/>
      <c r="K458" s="17"/>
      <c r="N458" s="10"/>
    </row>
    <row r="459" spans="5:14" x14ac:dyDescent="0.2">
      <c r="E459" s="10"/>
      <c r="F459" s="53"/>
      <c r="G459" s="9"/>
      <c r="J459" s="17"/>
      <c r="K459" s="17"/>
      <c r="N459" s="10"/>
    </row>
    <row r="460" spans="5:14" x14ac:dyDescent="0.2">
      <c r="E460" s="10"/>
      <c r="F460" s="53"/>
      <c r="G460" s="9"/>
      <c r="J460" s="17"/>
      <c r="K460" s="17"/>
      <c r="N460" s="10"/>
    </row>
    <row r="461" spans="5:14" x14ac:dyDescent="0.2">
      <c r="E461" s="10"/>
      <c r="F461" s="53"/>
      <c r="G461" s="9"/>
      <c r="J461" s="17"/>
      <c r="K461" s="17"/>
      <c r="N461" s="10"/>
    </row>
    <row r="462" spans="5:14" x14ac:dyDescent="0.2">
      <c r="E462" s="10"/>
      <c r="F462" s="53"/>
      <c r="G462" s="9"/>
      <c r="J462" s="17"/>
      <c r="K462" s="17"/>
      <c r="N462" s="10"/>
    </row>
    <row r="463" spans="5:14" x14ac:dyDescent="0.2">
      <c r="E463" s="10"/>
      <c r="F463" s="53"/>
      <c r="G463" s="9"/>
      <c r="J463" s="17"/>
      <c r="K463" s="17"/>
      <c r="N463" s="10"/>
    </row>
    <row r="464" spans="5:14" x14ac:dyDescent="0.2">
      <c r="E464" s="10"/>
      <c r="F464" s="53"/>
      <c r="G464" s="9"/>
      <c r="J464" s="17"/>
      <c r="K464" s="17"/>
      <c r="N464" s="10"/>
    </row>
    <row r="465" spans="5:14" x14ac:dyDescent="0.2">
      <c r="E465" s="10"/>
      <c r="F465" s="53"/>
      <c r="G465" s="9"/>
      <c r="J465" s="17"/>
      <c r="K465" s="17"/>
      <c r="N465" s="10"/>
    </row>
    <row r="466" spans="5:14" x14ac:dyDescent="0.2">
      <c r="E466" s="10"/>
      <c r="F466" s="53"/>
      <c r="G466" s="9"/>
      <c r="J466" s="17"/>
      <c r="K466" s="17"/>
      <c r="N466" s="10"/>
    </row>
    <row r="467" spans="5:14" x14ac:dyDescent="0.2">
      <c r="E467" s="10"/>
      <c r="F467" s="53"/>
      <c r="G467" s="9"/>
      <c r="J467" s="17"/>
      <c r="K467" s="17"/>
      <c r="N467" s="10"/>
    </row>
    <row r="468" spans="5:14" x14ac:dyDescent="0.2">
      <c r="E468" s="10"/>
      <c r="F468" s="53"/>
      <c r="G468" s="9"/>
      <c r="J468" s="17"/>
      <c r="K468" s="17"/>
      <c r="N468" s="10"/>
    </row>
    <row r="469" spans="5:14" x14ac:dyDescent="0.2">
      <c r="E469" s="10"/>
      <c r="F469" s="53"/>
      <c r="G469" s="9"/>
      <c r="J469" s="17"/>
      <c r="K469" s="17"/>
      <c r="N469" s="10"/>
    </row>
    <row r="470" spans="5:14" x14ac:dyDescent="0.2">
      <c r="E470" s="10"/>
      <c r="F470" s="53"/>
      <c r="G470" s="9"/>
      <c r="J470" s="17"/>
      <c r="K470" s="17"/>
      <c r="N470" s="10"/>
    </row>
    <row r="471" spans="5:14" x14ac:dyDescent="0.2">
      <c r="E471" s="10"/>
      <c r="F471" s="53"/>
      <c r="G471" s="9"/>
      <c r="J471" s="17"/>
      <c r="K471" s="17"/>
      <c r="N471" s="10"/>
    </row>
    <row r="472" spans="5:14" x14ac:dyDescent="0.2">
      <c r="E472" s="10"/>
      <c r="F472" s="53"/>
      <c r="G472" s="9"/>
      <c r="J472" s="17"/>
      <c r="K472" s="17"/>
      <c r="N472" s="10"/>
    </row>
    <row r="473" spans="5:14" x14ac:dyDescent="0.2">
      <c r="E473" s="10"/>
      <c r="F473" s="53"/>
      <c r="G473" s="9"/>
      <c r="J473" s="17"/>
      <c r="K473" s="17"/>
      <c r="N473" s="10"/>
    </row>
    <row r="474" spans="5:14" x14ac:dyDescent="0.2">
      <c r="E474" s="10"/>
      <c r="F474" s="53"/>
      <c r="G474" s="9"/>
      <c r="J474" s="17"/>
      <c r="K474" s="17"/>
      <c r="N474" s="10"/>
    </row>
    <row r="475" spans="5:14" x14ac:dyDescent="0.2">
      <c r="E475" s="10"/>
      <c r="F475" s="53"/>
      <c r="G475" s="9"/>
      <c r="J475" s="17"/>
      <c r="K475" s="17"/>
      <c r="N475" s="10"/>
    </row>
    <row r="476" spans="5:14" x14ac:dyDescent="0.2">
      <c r="E476" s="10"/>
      <c r="F476" s="53"/>
      <c r="G476" s="9"/>
      <c r="J476" s="17"/>
      <c r="K476" s="17"/>
      <c r="N476" s="10"/>
    </row>
    <row r="477" spans="5:14" x14ac:dyDescent="0.2">
      <c r="E477" s="10"/>
      <c r="F477" s="53"/>
      <c r="G477" s="9"/>
      <c r="J477" s="17"/>
      <c r="K477" s="17"/>
      <c r="N477" s="10"/>
    </row>
    <row r="478" spans="5:14" x14ac:dyDescent="0.2">
      <c r="E478" s="10"/>
      <c r="F478" s="53"/>
      <c r="G478" s="9"/>
      <c r="J478" s="17"/>
      <c r="K478" s="17"/>
      <c r="N478" s="10"/>
    </row>
    <row r="479" spans="5:14" x14ac:dyDescent="0.2">
      <c r="E479" s="10"/>
      <c r="F479" s="53"/>
      <c r="G479" s="9"/>
      <c r="J479" s="17"/>
      <c r="K479" s="17"/>
      <c r="N479" s="10"/>
    </row>
    <row r="480" spans="5:14" x14ac:dyDescent="0.2">
      <c r="E480" s="10"/>
      <c r="F480" s="53"/>
      <c r="G480" s="9"/>
      <c r="J480" s="17"/>
      <c r="K480" s="17"/>
      <c r="N480" s="10"/>
    </row>
    <row r="481" spans="5:14" x14ac:dyDescent="0.2">
      <c r="E481" s="10"/>
      <c r="F481" s="53"/>
      <c r="G481" s="9"/>
      <c r="J481" s="17"/>
      <c r="K481" s="17"/>
      <c r="N481" s="10"/>
    </row>
    <row r="482" spans="5:14" x14ac:dyDescent="0.2">
      <c r="E482" s="10"/>
      <c r="F482" s="53"/>
      <c r="G482" s="9"/>
      <c r="J482" s="17"/>
      <c r="K482" s="17"/>
      <c r="N482" s="10"/>
    </row>
    <row r="483" spans="5:14" x14ac:dyDescent="0.2">
      <c r="E483" s="10"/>
      <c r="F483" s="53"/>
      <c r="G483" s="9"/>
      <c r="J483" s="17"/>
      <c r="K483" s="17"/>
      <c r="N483" s="10"/>
    </row>
    <row r="484" spans="5:14" x14ac:dyDescent="0.2">
      <c r="E484" s="10"/>
      <c r="F484" s="53"/>
      <c r="G484" s="9"/>
      <c r="J484" s="17"/>
      <c r="K484" s="17"/>
      <c r="N484" s="10"/>
    </row>
    <row r="485" spans="5:14" x14ac:dyDescent="0.2">
      <c r="E485" s="10"/>
      <c r="F485" s="53"/>
      <c r="G485" s="9"/>
      <c r="J485" s="17"/>
      <c r="K485" s="17"/>
      <c r="N485" s="10"/>
    </row>
    <row r="486" spans="5:14" x14ac:dyDescent="0.2">
      <c r="E486" s="10"/>
      <c r="F486" s="53"/>
      <c r="G486" s="9"/>
      <c r="J486" s="17"/>
      <c r="K486" s="17"/>
      <c r="N486" s="10"/>
    </row>
    <row r="487" spans="5:14" x14ac:dyDescent="0.2">
      <c r="E487" s="10"/>
      <c r="F487" s="53"/>
      <c r="G487" s="9"/>
      <c r="J487" s="17"/>
      <c r="K487" s="17"/>
      <c r="N487" s="10"/>
    </row>
    <row r="488" spans="5:14" x14ac:dyDescent="0.2">
      <c r="E488" s="10"/>
      <c r="F488" s="53"/>
      <c r="G488" s="9"/>
      <c r="J488" s="17"/>
      <c r="K488" s="17"/>
      <c r="N488" s="10"/>
    </row>
    <row r="489" spans="5:14" x14ac:dyDescent="0.2">
      <c r="E489" s="10"/>
      <c r="F489" s="53"/>
      <c r="G489" s="9"/>
      <c r="J489" s="17"/>
      <c r="K489" s="17"/>
      <c r="N489" s="10"/>
    </row>
    <row r="490" spans="5:14" x14ac:dyDescent="0.2">
      <c r="E490" s="10"/>
      <c r="F490" s="53"/>
      <c r="G490" s="9"/>
      <c r="J490" s="17"/>
      <c r="K490" s="17"/>
      <c r="N490" s="10"/>
    </row>
    <row r="491" spans="5:14" x14ac:dyDescent="0.2">
      <c r="E491" s="10"/>
      <c r="F491" s="53"/>
      <c r="G491" s="9"/>
      <c r="J491" s="17"/>
      <c r="K491" s="17"/>
      <c r="N491" s="10"/>
    </row>
    <row r="492" spans="5:14" x14ac:dyDescent="0.2">
      <c r="E492" s="10"/>
      <c r="F492" s="53"/>
      <c r="G492" s="9"/>
      <c r="J492" s="17"/>
      <c r="K492" s="17"/>
      <c r="N492" s="10"/>
    </row>
    <row r="493" spans="5:14" x14ac:dyDescent="0.2">
      <c r="E493" s="10"/>
      <c r="F493" s="53"/>
      <c r="G493" s="9"/>
      <c r="J493" s="17"/>
      <c r="K493" s="17"/>
      <c r="N493" s="10"/>
    </row>
    <row r="494" spans="5:14" x14ac:dyDescent="0.2">
      <c r="E494" s="10"/>
      <c r="F494" s="53"/>
      <c r="G494" s="9"/>
      <c r="J494" s="17"/>
      <c r="K494" s="17"/>
      <c r="N494" s="10"/>
    </row>
    <row r="495" spans="5:14" x14ac:dyDescent="0.2">
      <c r="E495" s="10"/>
      <c r="F495" s="53"/>
      <c r="G495" s="9"/>
      <c r="J495" s="17"/>
      <c r="K495" s="17"/>
      <c r="N495" s="10"/>
    </row>
    <row r="496" spans="5:14" x14ac:dyDescent="0.2">
      <c r="E496" s="10"/>
      <c r="F496" s="53"/>
      <c r="G496" s="9"/>
      <c r="J496" s="17"/>
      <c r="K496" s="17"/>
      <c r="N496" s="10"/>
    </row>
    <row r="497" spans="5:14" x14ac:dyDescent="0.2">
      <c r="E497" s="10"/>
      <c r="F497" s="53"/>
      <c r="G497" s="9"/>
      <c r="J497" s="17"/>
      <c r="K497" s="17"/>
      <c r="N497" s="10"/>
    </row>
    <row r="498" spans="5:14" x14ac:dyDescent="0.2">
      <c r="E498" s="10"/>
      <c r="F498" s="53"/>
      <c r="G498" s="9"/>
      <c r="J498" s="17"/>
      <c r="K498" s="17"/>
      <c r="N498" s="10"/>
    </row>
    <row r="499" spans="5:14" x14ac:dyDescent="0.2">
      <c r="E499" s="10"/>
      <c r="F499" s="53"/>
      <c r="G499" s="9"/>
      <c r="J499" s="17"/>
      <c r="K499" s="17"/>
      <c r="N499" s="10"/>
    </row>
    <row r="500" spans="5:14" x14ac:dyDescent="0.2">
      <c r="E500" s="10"/>
      <c r="F500" s="53"/>
      <c r="G500" s="9"/>
      <c r="J500" s="17"/>
      <c r="K500" s="17"/>
      <c r="N500" s="10"/>
    </row>
    <row r="501" spans="5:14" x14ac:dyDescent="0.2">
      <c r="E501" s="10"/>
      <c r="F501" s="53"/>
      <c r="G501" s="9"/>
      <c r="J501" s="17"/>
      <c r="K501" s="17"/>
      <c r="N501" s="10"/>
    </row>
    <row r="502" spans="5:14" x14ac:dyDescent="0.2">
      <c r="E502" s="10"/>
      <c r="F502" s="53"/>
      <c r="G502" s="9"/>
      <c r="J502" s="17"/>
      <c r="K502" s="17"/>
      <c r="N502" s="10"/>
    </row>
    <row r="503" spans="5:14" x14ac:dyDescent="0.2">
      <c r="E503" s="10"/>
      <c r="F503" s="53"/>
      <c r="G503" s="9"/>
      <c r="J503" s="17"/>
      <c r="K503" s="17"/>
      <c r="N503" s="10"/>
    </row>
    <row r="504" spans="5:14" x14ac:dyDescent="0.2">
      <c r="E504" s="10"/>
      <c r="F504" s="53"/>
      <c r="G504" s="9"/>
      <c r="J504" s="17"/>
      <c r="K504" s="17"/>
      <c r="N504" s="10"/>
    </row>
    <row r="505" spans="5:14" x14ac:dyDescent="0.2">
      <c r="E505" s="10"/>
      <c r="F505" s="53"/>
      <c r="G505" s="9"/>
      <c r="J505" s="17"/>
      <c r="K505" s="17"/>
      <c r="N505" s="10"/>
    </row>
    <row r="506" spans="5:14" x14ac:dyDescent="0.2">
      <c r="E506" s="10"/>
      <c r="F506" s="53"/>
      <c r="G506" s="9"/>
      <c r="J506" s="17"/>
      <c r="K506" s="17"/>
      <c r="N506" s="10"/>
    </row>
    <row r="507" spans="5:14" x14ac:dyDescent="0.2">
      <c r="E507" s="10"/>
      <c r="F507" s="53"/>
      <c r="G507" s="9"/>
      <c r="J507" s="17"/>
      <c r="K507" s="17"/>
      <c r="N507" s="10"/>
    </row>
    <row r="508" spans="5:14" x14ac:dyDescent="0.2">
      <c r="E508" s="10"/>
      <c r="F508" s="53"/>
      <c r="G508" s="9"/>
      <c r="J508" s="17"/>
      <c r="K508" s="17"/>
      <c r="N508" s="10"/>
    </row>
    <row r="509" spans="5:14" x14ac:dyDescent="0.2">
      <c r="E509" s="10"/>
      <c r="F509" s="53"/>
      <c r="G509" s="9"/>
      <c r="J509" s="17"/>
      <c r="K509" s="17"/>
      <c r="N509" s="10"/>
    </row>
    <row r="510" spans="5:14" x14ac:dyDescent="0.2">
      <c r="E510" s="10"/>
      <c r="F510" s="53"/>
      <c r="G510" s="9"/>
      <c r="J510" s="17"/>
      <c r="K510" s="17"/>
      <c r="N510" s="10"/>
    </row>
    <row r="511" spans="5:14" x14ac:dyDescent="0.2">
      <c r="E511" s="10"/>
      <c r="F511" s="53"/>
      <c r="G511" s="9"/>
      <c r="J511" s="17"/>
      <c r="K511" s="17"/>
      <c r="N511" s="10"/>
    </row>
    <row r="512" spans="5:14" x14ac:dyDescent="0.2">
      <c r="E512" s="10"/>
      <c r="F512" s="53"/>
      <c r="G512" s="9"/>
      <c r="J512" s="17"/>
      <c r="K512" s="17"/>
      <c r="N512" s="10"/>
    </row>
    <row r="513" spans="5:14" x14ac:dyDescent="0.2">
      <c r="E513" s="10"/>
      <c r="F513" s="53"/>
      <c r="G513" s="9"/>
      <c r="J513" s="17"/>
      <c r="K513" s="17"/>
      <c r="N513" s="10"/>
    </row>
    <row r="514" spans="5:14" x14ac:dyDescent="0.2">
      <c r="E514" s="10"/>
      <c r="F514" s="53"/>
      <c r="G514" s="9"/>
      <c r="J514" s="17"/>
      <c r="K514" s="17"/>
      <c r="N514" s="10"/>
    </row>
    <row r="515" spans="5:14" x14ac:dyDescent="0.2">
      <c r="E515" s="10"/>
      <c r="F515" s="53"/>
      <c r="G515" s="9"/>
      <c r="J515" s="17"/>
      <c r="K515" s="17"/>
      <c r="N515" s="10"/>
    </row>
    <row r="516" spans="5:14" x14ac:dyDescent="0.2">
      <c r="E516" s="10"/>
      <c r="F516" s="53"/>
      <c r="G516" s="9"/>
      <c r="J516" s="17"/>
      <c r="K516" s="17"/>
      <c r="N516" s="10"/>
    </row>
    <row r="517" spans="5:14" x14ac:dyDescent="0.2">
      <c r="E517" s="10"/>
      <c r="F517" s="53"/>
      <c r="G517" s="9"/>
      <c r="J517" s="17"/>
      <c r="K517" s="17"/>
      <c r="N517" s="10"/>
    </row>
    <row r="518" spans="5:14" x14ac:dyDescent="0.2">
      <c r="E518" s="10"/>
      <c r="F518" s="53"/>
      <c r="G518" s="9"/>
      <c r="J518" s="17"/>
      <c r="K518" s="17"/>
      <c r="N518" s="10"/>
    </row>
    <row r="519" spans="5:14" x14ac:dyDescent="0.2">
      <c r="E519" s="10"/>
      <c r="F519" s="53"/>
      <c r="G519" s="9"/>
      <c r="J519" s="17"/>
      <c r="K519" s="17"/>
      <c r="N519" s="10"/>
    </row>
    <row r="520" spans="5:14" x14ac:dyDescent="0.2">
      <c r="E520" s="10"/>
      <c r="F520" s="53"/>
      <c r="G520" s="9"/>
      <c r="J520" s="17"/>
      <c r="K520" s="17"/>
      <c r="N520" s="10"/>
    </row>
    <row r="521" spans="5:14" x14ac:dyDescent="0.2">
      <c r="E521" s="10"/>
      <c r="F521" s="53"/>
      <c r="G521" s="9"/>
      <c r="J521" s="17"/>
      <c r="K521" s="17"/>
      <c r="N521" s="10"/>
    </row>
    <row r="522" spans="5:14" x14ac:dyDescent="0.2">
      <c r="E522" s="10"/>
      <c r="F522" s="53"/>
      <c r="G522" s="9"/>
      <c r="J522" s="17"/>
      <c r="K522" s="17"/>
      <c r="N522" s="10"/>
    </row>
    <row r="523" spans="5:14" x14ac:dyDescent="0.2">
      <c r="E523" s="10"/>
      <c r="F523" s="53"/>
      <c r="G523" s="9"/>
      <c r="J523" s="17"/>
      <c r="K523" s="17"/>
      <c r="N523" s="10"/>
    </row>
    <row r="524" spans="5:14" x14ac:dyDescent="0.2">
      <c r="E524" s="10"/>
      <c r="F524" s="53"/>
      <c r="G524" s="9"/>
      <c r="J524" s="17"/>
      <c r="K524" s="17"/>
      <c r="N524" s="10"/>
    </row>
    <row r="525" spans="5:14" x14ac:dyDescent="0.2">
      <c r="E525" s="10"/>
      <c r="F525" s="53"/>
      <c r="G525" s="9"/>
      <c r="J525" s="17"/>
      <c r="K525" s="17"/>
      <c r="N525" s="10"/>
    </row>
    <row r="526" spans="5:14" x14ac:dyDescent="0.2">
      <c r="E526" s="10"/>
      <c r="F526" s="53"/>
      <c r="G526" s="9"/>
      <c r="J526" s="17"/>
      <c r="K526" s="17"/>
      <c r="N526" s="10"/>
    </row>
    <row r="527" spans="5:14" x14ac:dyDescent="0.2">
      <c r="E527" s="10"/>
      <c r="F527" s="53"/>
      <c r="G527" s="9"/>
      <c r="J527" s="17"/>
      <c r="K527" s="17"/>
      <c r="N527" s="10"/>
    </row>
    <row r="528" spans="5:14" x14ac:dyDescent="0.2">
      <c r="E528" s="10"/>
      <c r="F528" s="53"/>
      <c r="G528" s="9"/>
      <c r="J528" s="17"/>
      <c r="K528" s="17"/>
      <c r="N528" s="10"/>
    </row>
    <row r="529" spans="5:14" x14ac:dyDescent="0.2">
      <c r="E529" s="10"/>
      <c r="F529" s="53"/>
      <c r="G529" s="9"/>
      <c r="J529" s="17"/>
      <c r="K529" s="17"/>
      <c r="N529" s="10"/>
    </row>
    <row r="530" spans="5:14" x14ac:dyDescent="0.2">
      <c r="E530" s="10"/>
      <c r="F530" s="53"/>
      <c r="G530" s="9"/>
      <c r="J530" s="17"/>
      <c r="K530" s="17"/>
      <c r="N530" s="10"/>
    </row>
    <row r="531" spans="5:14" x14ac:dyDescent="0.2">
      <c r="E531" s="10"/>
      <c r="F531" s="53"/>
      <c r="G531" s="9"/>
      <c r="J531" s="17"/>
      <c r="K531" s="17"/>
      <c r="N531" s="10"/>
    </row>
    <row r="532" spans="5:14" x14ac:dyDescent="0.2">
      <c r="E532" s="10"/>
      <c r="F532" s="53"/>
      <c r="G532" s="9"/>
      <c r="J532" s="17"/>
      <c r="K532" s="17"/>
      <c r="N532" s="10"/>
    </row>
    <row r="533" spans="5:14" x14ac:dyDescent="0.2">
      <c r="E533" s="10"/>
      <c r="F533" s="53"/>
      <c r="G533" s="9"/>
      <c r="J533" s="17"/>
      <c r="K533" s="17"/>
      <c r="N533" s="10"/>
    </row>
    <row r="534" spans="5:14" x14ac:dyDescent="0.2">
      <c r="E534" s="10"/>
      <c r="F534" s="53"/>
      <c r="G534" s="9"/>
      <c r="J534" s="17"/>
      <c r="K534" s="17"/>
      <c r="N534" s="10"/>
    </row>
    <row r="535" spans="5:14" x14ac:dyDescent="0.2">
      <c r="E535" s="10"/>
      <c r="F535" s="53"/>
      <c r="G535" s="9"/>
      <c r="J535" s="17"/>
      <c r="K535" s="17"/>
      <c r="N535" s="10"/>
    </row>
    <row r="536" spans="5:14" x14ac:dyDescent="0.2">
      <c r="E536" s="10"/>
      <c r="F536" s="53"/>
      <c r="G536" s="9"/>
      <c r="J536" s="17"/>
      <c r="K536" s="17"/>
      <c r="N536" s="10"/>
    </row>
    <row r="537" spans="5:14" x14ac:dyDescent="0.2">
      <c r="E537" s="10"/>
      <c r="F537" s="53"/>
      <c r="G537" s="9"/>
      <c r="J537" s="17"/>
      <c r="K537" s="17"/>
      <c r="N537" s="10"/>
    </row>
    <row r="538" spans="5:14" x14ac:dyDescent="0.2">
      <c r="E538" s="10"/>
      <c r="F538" s="53"/>
      <c r="G538" s="9"/>
      <c r="J538" s="17"/>
      <c r="K538" s="17"/>
      <c r="N538" s="10"/>
    </row>
    <row r="539" spans="5:14" x14ac:dyDescent="0.2">
      <c r="E539" s="10"/>
      <c r="F539" s="53"/>
      <c r="G539" s="9"/>
      <c r="J539" s="17"/>
      <c r="K539" s="17"/>
      <c r="N539" s="10"/>
    </row>
    <row r="540" spans="5:14" x14ac:dyDescent="0.2">
      <c r="E540" s="10"/>
      <c r="F540" s="53"/>
      <c r="G540" s="9"/>
      <c r="J540" s="17"/>
      <c r="K540" s="17"/>
      <c r="N540" s="10"/>
    </row>
    <row r="541" spans="5:14" x14ac:dyDescent="0.2">
      <c r="E541" s="10"/>
      <c r="F541" s="53"/>
      <c r="G541" s="9"/>
      <c r="J541" s="17"/>
      <c r="K541" s="17"/>
      <c r="N541" s="10"/>
    </row>
    <row r="542" spans="5:14" x14ac:dyDescent="0.2">
      <c r="E542" s="10"/>
      <c r="F542" s="53"/>
      <c r="G542" s="9"/>
      <c r="J542" s="17"/>
      <c r="K542" s="17"/>
      <c r="N542" s="10"/>
    </row>
    <row r="543" spans="5:14" x14ac:dyDescent="0.2">
      <c r="E543" s="10"/>
      <c r="F543" s="53"/>
      <c r="G543" s="9"/>
      <c r="J543" s="17"/>
      <c r="K543" s="17"/>
      <c r="N543" s="10"/>
    </row>
    <row r="544" spans="5:14" x14ac:dyDescent="0.2">
      <c r="E544" s="10"/>
      <c r="F544" s="53"/>
      <c r="G544" s="9"/>
      <c r="J544" s="17"/>
      <c r="K544" s="17"/>
      <c r="N544" s="10"/>
    </row>
    <row r="545" spans="5:14" x14ac:dyDescent="0.2">
      <c r="E545" s="10"/>
      <c r="F545" s="53"/>
      <c r="G545" s="9"/>
      <c r="J545" s="17"/>
      <c r="K545" s="17"/>
      <c r="N545" s="10"/>
    </row>
    <row r="546" spans="5:14" x14ac:dyDescent="0.2">
      <c r="E546" s="10"/>
      <c r="F546" s="53"/>
      <c r="G546" s="9"/>
      <c r="J546" s="17"/>
      <c r="K546" s="17"/>
      <c r="N546" s="10"/>
    </row>
    <row r="547" spans="5:14" x14ac:dyDescent="0.2">
      <c r="E547" s="10"/>
      <c r="F547" s="53"/>
      <c r="G547" s="9"/>
      <c r="J547" s="17"/>
      <c r="K547" s="17"/>
      <c r="N547" s="10"/>
    </row>
    <row r="548" spans="5:14" x14ac:dyDescent="0.2">
      <c r="E548" s="10"/>
      <c r="F548" s="53"/>
      <c r="G548" s="9"/>
      <c r="J548" s="17"/>
      <c r="K548" s="17"/>
      <c r="N548" s="10"/>
    </row>
    <row r="549" spans="5:14" x14ac:dyDescent="0.2">
      <c r="E549" s="10"/>
      <c r="F549" s="53"/>
      <c r="G549" s="9"/>
      <c r="J549" s="17"/>
      <c r="K549" s="17"/>
      <c r="N549" s="10"/>
    </row>
    <row r="550" spans="5:14" x14ac:dyDescent="0.2">
      <c r="E550" s="10"/>
      <c r="F550" s="53"/>
      <c r="G550" s="9"/>
      <c r="J550" s="17"/>
      <c r="K550" s="17"/>
      <c r="N550" s="10"/>
    </row>
    <row r="551" spans="5:14" x14ac:dyDescent="0.2">
      <c r="E551" s="10"/>
      <c r="F551" s="53"/>
      <c r="G551" s="9"/>
      <c r="J551" s="17"/>
      <c r="K551" s="17"/>
      <c r="N551" s="10"/>
    </row>
    <row r="552" spans="5:14" x14ac:dyDescent="0.2">
      <c r="E552" s="10"/>
      <c r="F552" s="53"/>
      <c r="G552" s="9"/>
      <c r="J552" s="17"/>
      <c r="K552" s="17"/>
      <c r="N552" s="10"/>
    </row>
    <row r="553" spans="5:14" x14ac:dyDescent="0.2">
      <c r="E553" s="10"/>
      <c r="F553" s="53"/>
      <c r="G553" s="9"/>
      <c r="J553" s="17"/>
      <c r="K553" s="17"/>
      <c r="N553" s="10"/>
    </row>
    <row r="554" spans="5:14" x14ac:dyDescent="0.2">
      <c r="E554" s="10"/>
      <c r="F554" s="53"/>
      <c r="G554" s="9"/>
      <c r="J554" s="17"/>
      <c r="K554" s="17"/>
      <c r="N554" s="10"/>
    </row>
    <row r="555" spans="5:14" x14ac:dyDescent="0.2">
      <c r="E555" s="10"/>
      <c r="F555" s="53"/>
      <c r="G555" s="9"/>
      <c r="J555" s="17"/>
      <c r="K555" s="17"/>
      <c r="N555" s="10"/>
    </row>
    <row r="556" spans="5:14" x14ac:dyDescent="0.2">
      <c r="E556" s="10"/>
      <c r="F556" s="53"/>
      <c r="G556" s="9"/>
      <c r="J556" s="17"/>
      <c r="K556" s="17"/>
      <c r="N556" s="10"/>
    </row>
    <row r="557" spans="5:14" x14ac:dyDescent="0.2">
      <c r="E557" s="10"/>
      <c r="F557" s="53"/>
      <c r="G557" s="9"/>
      <c r="J557" s="17"/>
      <c r="K557" s="17"/>
      <c r="N557" s="10"/>
    </row>
    <row r="558" spans="5:14" x14ac:dyDescent="0.2">
      <c r="E558" s="10"/>
      <c r="F558" s="53"/>
      <c r="G558" s="9"/>
      <c r="J558" s="17"/>
      <c r="K558" s="17"/>
      <c r="N558" s="10"/>
    </row>
    <row r="559" spans="5:14" x14ac:dyDescent="0.2">
      <c r="E559" s="10"/>
      <c r="F559" s="53"/>
      <c r="G559" s="9"/>
      <c r="J559" s="17"/>
      <c r="K559" s="17"/>
      <c r="N559" s="10"/>
    </row>
    <row r="560" spans="5:14" x14ac:dyDescent="0.2">
      <c r="E560" s="10"/>
      <c r="F560" s="53"/>
      <c r="G560" s="9"/>
      <c r="J560" s="17"/>
      <c r="K560" s="17"/>
      <c r="N560" s="10"/>
    </row>
    <row r="561" spans="5:14" x14ac:dyDescent="0.2">
      <c r="E561" s="10"/>
      <c r="F561" s="53"/>
      <c r="G561" s="9"/>
      <c r="J561" s="17"/>
      <c r="K561" s="17"/>
      <c r="N561" s="10"/>
    </row>
    <row r="562" spans="5:14" x14ac:dyDescent="0.2">
      <c r="E562" s="10"/>
      <c r="F562" s="53"/>
      <c r="G562" s="9"/>
      <c r="J562" s="17"/>
      <c r="K562" s="17"/>
      <c r="N562" s="10"/>
    </row>
    <row r="563" spans="5:14" x14ac:dyDescent="0.2">
      <c r="E563" s="10"/>
      <c r="F563" s="53"/>
      <c r="G563" s="9"/>
      <c r="J563" s="17"/>
      <c r="K563" s="17"/>
      <c r="N563" s="10"/>
    </row>
    <row r="564" spans="5:14" x14ac:dyDescent="0.2">
      <c r="E564" s="10"/>
      <c r="F564" s="53"/>
      <c r="G564" s="9"/>
      <c r="J564" s="17"/>
      <c r="K564" s="17"/>
      <c r="N564" s="10"/>
    </row>
    <row r="565" spans="5:14" x14ac:dyDescent="0.2">
      <c r="E565" s="10"/>
      <c r="F565" s="53"/>
      <c r="G565" s="9"/>
      <c r="J565" s="17"/>
      <c r="K565" s="17"/>
      <c r="N565" s="10"/>
    </row>
    <row r="566" spans="5:14" x14ac:dyDescent="0.2">
      <c r="E566" s="10"/>
      <c r="F566" s="53"/>
      <c r="G566" s="9"/>
      <c r="J566" s="17"/>
      <c r="K566" s="17"/>
      <c r="N566" s="10"/>
    </row>
    <row r="567" spans="5:14" x14ac:dyDescent="0.2">
      <c r="E567" s="10"/>
      <c r="F567" s="53"/>
      <c r="G567" s="9"/>
      <c r="J567" s="17"/>
      <c r="K567" s="17"/>
      <c r="N567" s="10"/>
    </row>
    <row r="568" spans="5:14" x14ac:dyDescent="0.2">
      <c r="E568" s="10"/>
      <c r="F568" s="53"/>
      <c r="G568" s="9"/>
      <c r="J568" s="17"/>
      <c r="K568" s="17"/>
      <c r="N568" s="10"/>
    </row>
    <row r="569" spans="5:14" x14ac:dyDescent="0.2">
      <c r="E569" s="10"/>
      <c r="F569" s="53"/>
      <c r="G569" s="9"/>
      <c r="J569" s="17"/>
      <c r="K569" s="17"/>
      <c r="N569" s="10"/>
    </row>
    <row r="570" spans="5:14" x14ac:dyDescent="0.2">
      <c r="E570" s="10"/>
      <c r="F570" s="53"/>
      <c r="G570" s="9"/>
      <c r="J570" s="17"/>
      <c r="K570" s="17"/>
      <c r="N570" s="10"/>
    </row>
    <row r="571" spans="5:14" x14ac:dyDescent="0.2">
      <c r="E571" s="10"/>
      <c r="F571" s="53"/>
      <c r="G571" s="9"/>
      <c r="J571" s="17"/>
      <c r="K571" s="17"/>
      <c r="N571" s="10"/>
    </row>
    <row r="572" spans="5:14" x14ac:dyDescent="0.2">
      <c r="E572" s="10"/>
      <c r="F572" s="53"/>
      <c r="G572" s="9"/>
      <c r="J572" s="17"/>
      <c r="K572" s="17"/>
      <c r="N572" s="10"/>
    </row>
    <row r="573" spans="5:14" x14ac:dyDescent="0.2">
      <c r="E573" s="10"/>
      <c r="F573" s="53"/>
      <c r="G573" s="9"/>
      <c r="J573" s="17"/>
      <c r="K573" s="17"/>
      <c r="N573" s="10"/>
    </row>
    <row r="574" spans="5:14" x14ac:dyDescent="0.2">
      <c r="E574" s="10"/>
      <c r="F574" s="53"/>
      <c r="G574" s="9"/>
      <c r="J574" s="17"/>
      <c r="K574" s="17"/>
      <c r="N574" s="10"/>
    </row>
    <row r="575" spans="5:14" x14ac:dyDescent="0.2">
      <c r="E575" s="10"/>
      <c r="F575" s="53"/>
      <c r="G575" s="9"/>
      <c r="J575" s="17"/>
      <c r="K575" s="17"/>
      <c r="N575" s="10"/>
    </row>
    <row r="576" spans="5:14" x14ac:dyDescent="0.2">
      <c r="E576" s="10"/>
      <c r="F576" s="53"/>
      <c r="G576" s="9"/>
      <c r="J576" s="17"/>
      <c r="K576" s="17"/>
      <c r="N576" s="10"/>
    </row>
    <row r="577" spans="5:14" x14ac:dyDescent="0.2">
      <c r="E577" s="10"/>
      <c r="F577" s="53"/>
      <c r="G577" s="9"/>
      <c r="J577" s="17"/>
      <c r="K577" s="17"/>
      <c r="N577" s="10"/>
    </row>
    <row r="578" spans="5:14" x14ac:dyDescent="0.2">
      <c r="E578" s="10"/>
      <c r="F578" s="53"/>
      <c r="G578" s="9"/>
      <c r="J578" s="17"/>
      <c r="K578" s="17"/>
      <c r="N578" s="10"/>
    </row>
    <row r="579" spans="5:14" x14ac:dyDescent="0.2">
      <c r="E579" s="10"/>
      <c r="F579" s="53"/>
      <c r="G579" s="9"/>
      <c r="J579" s="17"/>
      <c r="K579" s="17"/>
      <c r="N579" s="10"/>
    </row>
    <row r="580" spans="5:14" x14ac:dyDescent="0.2">
      <c r="E580" s="10"/>
      <c r="F580" s="53"/>
      <c r="G580" s="9"/>
      <c r="J580" s="17"/>
      <c r="K580" s="17"/>
      <c r="N580" s="10"/>
    </row>
    <row r="581" spans="5:14" x14ac:dyDescent="0.2">
      <c r="E581" s="10"/>
      <c r="F581" s="53"/>
      <c r="G581" s="9"/>
      <c r="J581" s="17"/>
      <c r="K581" s="17"/>
      <c r="N581" s="10"/>
    </row>
    <row r="582" spans="5:14" x14ac:dyDescent="0.2">
      <c r="E582" s="10"/>
      <c r="F582" s="53"/>
      <c r="G582" s="9"/>
      <c r="J582" s="17"/>
      <c r="K582" s="17"/>
      <c r="N582" s="10"/>
    </row>
    <row r="583" spans="5:14" x14ac:dyDescent="0.2">
      <c r="E583" s="10"/>
      <c r="F583" s="53"/>
      <c r="G583" s="9"/>
      <c r="J583" s="17"/>
      <c r="K583" s="17"/>
      <c r="N583" s="10"/>
    </row>
    <row r="584" spans="5:14" x14ac:dyDescent="0.2">
      <c r="E584" s="10"/>
      <c r="F584" s="53"/>
      <c r="G584" s="9"/>
      <c r="J584" s="17"/>
      <c r="K584" s="17"/>
      <c r="N584" s="10"/>
    </row>
    <row r="585" spans="5:14" x14ac:dyDescent="0.2">
      <c r="E585" s="10"/>
      <c r="F585" s="53"/>
      <c r="G585" s="9"/>
      <c r="J585" s="17"/>
      <c r="K585" s="17"/>
      <c r="N585" s="10"/>
    </row>
    <row r="586" spans="5:14" x14ac:dyDescent="0.2">
      <c r="E586" s="10"/>
      <c r="F586" s="53"/>
      <c r="G586" s="9"/>
      <c r="J586" s="17"/>
      <c r="K586" s="17"/>
      <c r="N586" s="10"/>
    </row>
    <row r="587" spans="5:14" x14ac:dyDescent="0.2">
      <c r="E587" s="10"/>
      <c r="F587" s="53"/>
      <c r="G587" s="9"/>
      <c r="J587" s="17"/>
      <c r="K587" s="17"/>
      <c r="N587" s="10"/>
    </row>
    <row r="588" spans="5:14" x14ac:dyDescent="0.2">
      <c r="E588" s="10"/>
      <c r="F588" s="53"/>
      <c r="G588" s="9"/>
      <c r="J588" s="17"/>
      <c r="K588" s="17"/>
      <c r="N588" s="10"/>
    </row>
    <row r="589" spans="5:14" x14ac:dyDescent="0.2">
      <c r="E589" s="10"/>
      <c r="F589" s="53"/>
      <c r="G589" s="9"/>
      <c r="J589" s="17"/>
      <c r="K589" s="17"/>
      <c r="N589" s="10"/>
    </row>
    <row r="590" spans="5:14" x14ac:dyDescent="0.2">
      <c r="E590" s="10"/>
      <c r="F590" s="53"/>
      <c r="G590" s="9"/>
      <c r="J590" s="17"/>
      <c r="K590" s="17"/>
      <c r="N590" s="10"/>
    </row>
    <row r="591" spans="5:14" x14ac:dyDescent="0.2">
      <c r="E591" s="10"/>
      <c r="F591" s="53"/>
      <c r="G591" s="9"/>
      <c r="J591" s="17"/>
      <c r="K591" s="17"/>
      <c r="N591" s="10"/>
    </row>
    <row r="592" spans="5:14" x14ac:dyDescent="0.2">
      <c r="E592" s="10"/>
      <c r="F592" s="53"/>
      <c r="G592" s="9"/>
      <c r="J592" s="17"/>
      <c r="K592" s="17"/>
      <c r="N592" s="10"/>
    </row>
    <row r="593" spans="5:14" x14ac:dyDescent="0.2">
      <c r="E593" s="10"/>
      <c r="F593" s="53"/>
      <c r="G593" s="9"/>
      <c r="J593" s="17"/>
      <c r="K593" s="17"/>
      <c r="N593" s="10"/>
    </row>
    <row r="594" spans="5:14" x14ac:dyDescent="0.2">
      <c r="E594" s="10"/>
      <c r="F594" s="53"/>
      <c r="G594" s="9"/>
      <c r="J594" s="17"/>
      <c r="K594" s="17"/>
      <c r="N594" s="10"/>
    </row>
    <row r="595" spans="5:14" x14ac:dyDescent="0.2">
      <c r="E595" s="10"/>
      <c r="F595" s="53"/>
      <c r="G595" s="9"/>
      <c r="J595" s="17"/>
      <c r="K595" s="17"/>
      <c r="N595" s="10"/>
    </row>
    <row r="596" spans="5:14" x14ac:dyDescent="0.2">
      <c r="E596" s="10"/>
      <c r="F596" s="53"/>
      <c r="G596" s="9"/>
      <c r="J596" s="17"/>
      <c r="K596" s="17"/>
      <c r="N596" s="10"/>
    </row>
    <row r="597" spans="5:14" x14ac:dyDescent="0.2">
      <c r="E597" s="10"/>
      <c r="F597" s="53"/>
      <c r="G597" s="9"/>
      <c r="J597" s="17"/>
      <c r="K597" s="17"/>
      <c r="N597" s="10"/>
    </row>
    <row r="598" spans="5:14" x14ac:dyDescent="0.2">
      <c r="E598" s="10"/>
      <c r="F598" s="53"/>
      <c r="G598" s="9"/>
      <c r="J598" s="17"/>
      <c r="K598" s="17"/>
      <c r="N598" s="10"/>
    </row>
    <row r="599" spans="5:14" x14ac:dyDescent="0.2">
      <c r="E599" s="10"/>
      <c r="F599" s="53"/>
      <c r="G599" s="9"/>
      <c r="J599" s="17"/>
      <c r="K599" s="17"/>
      <c r="N599" s="10"/>
    </row>
    <row r="600" spans="5:14" x14ac:dyDescent="0.2">
      <c r="E600" s="10"/>
      <c r="F600" s="53"/>
      <c r="G600" s="9"/>
      <c r="J600" s="17"/>
      <c r="K600" s="17"/>
      <c r="N600" s="10"/>
    </row>
    <row r="601" spans="5:14" x14ac:dyDescent="0.2">
      <c r="E601" s="10"/>
      <c r="F601" s="53"/>
      <c r="G601" s="9"/>
      <c r="J601" s="17"/>
      <c r="K601" s="17"/>
      <c r="N601" s="10"/>
    </row>
    <row r="602" spans="5:14" x14ac:dyDescent="0.2">
      <c r="E602" s="10"/>
      <c r="F602" s="53"/>
      <c r="G602" s="9"/>
      <c r="J602" s="17"/>
      <c r="K602" s="17"/>
      <c r="N602" s="10"/>
    </row>
    <row r="603" spans="5:14" x14ac:dyDescent="0.2">
      <c r="E603" s="10"/>
      <c r="F603" s="53"/>
      <c r="G603" s="9"/>
      <c r="J603" s="17"/>
      <c r="K603" s="17"/>
      <c r="N603" s="10"/>
    </row>
    <row r="604" spans="5:14" x14ac:dyDescent="0.2">
      <c r="E604" s="10"/>
      <c r="F604" s="53"/>
      <c r="G604" s="9"/>
      <c r="J604" s="17"/>
      <c r="K604" s="17"/>
      <c r="N604" s="10"/>
    </row>
    <row r="605" spans="5:14" x14ac:dyDescent="0.2">
      <c r="E605" s="10"/>
      <c r="F605" s="53"/>
      <c r="G605" s="9"/>
      <c r="J605" s="17"/>
      <c r="K605" s="17"/>
      <c r="N605" s="10"/>
    </row>
    <row r="606" spans="5:14" x14ac:dyDescent="0.2">
      <c r="E606" s="10"/>
      <c r="F606" s="53"/>
      <c r="G606" s="9"/>
      <c r="J606" s="17"/>
      <c r="K606" s="17"/>
      <c r="N606" s="10"/>
    </row>
    <row r="607" spans="5:14" x14ac:dyDescent="0.2">
      <c r="E607" s="10"/>
      <c r="F607" s="53"/>
      <c r="G607" s="9"/>
      <c r="J607" s="17"/>
      <c r="K607" s="17"/>
      <c r="N607" s="10"/>
    </row>
    <row r="608" spans="5:14" x14ac:dyDescent="0.2">
      <c r="E608" s="10"/>
      <c r="F608" s="53"/>
      <c r="G608" s="9"/>
      <c r="J608" s="17"/>
      <c r="K608" s="17"/>
      <c r="N608" s="10"/>
    </row>
    <row r="609" spans="5:14" x14ac:dyDescent="0.2">
      <c r="E609" s="10"/>
      <c r="F609" s="53"/>
      <c r="G609" s="9"/>
      <c r="J609" s="17"/>
      <c r="K609" s="17"/>
      <c r="N609" s="10"/>
    </row>
    <row r="610" spans="5:14" x14ac:dyDescent="0.2">
      <c r="E610" s="10"/>
      <c r="F610" s="53"/>
      <c r="G610" s="9"/>
      <c r="J610" s="17"/>
      <c r="K610" s="17"/>
      <c r="N610" s="10"/>
    </row>
    <row r="611" spans="5:14" x14ac:dyDescent="0.2">
      <c r="E611" s="10"/>
      <c r="F611" s="53"/>
      <c r="G611" s="9"/>
      <c r="J611" s="17"/>
      <c r="K611" s="17"/>
      <c r="N611" s="10"/>
    </row>
    <row r="612" spans="5:14" x14ac:dyDescent="0.2">
      <c r="E612" s="10"/>
      <c r="F612" s="53"/>
      <c r="G612" s="9"/>
      <c r="J612" s="17"/>
      <c r="K612" s="17"/>
      <c r="N612" s="10"/>
    </row>
    <row r="613" spans="5:14" x14ac:dyDescent="0.2">
      <c r="E613" s="10"/>
      <c r="F613" s="53"/>
      <c r="G613" s="9"/>
      <c r="J613" s="17"/>
      <c r="K613" s="17"/>
      <c r="N613" s="10"/>
    </row>
    <row r="614" spans="5:14" x14ac:dyDescent="0.2">
      <c r="E614" s="10"/>
      <c r="F614" s="53"/>
      <c r="G614" s="9"/>
      <c r="J614" s="17"/>
      <c r="K614" s="17"/>
      <c r="N614" s="10"/>
    </row>
    <row r="615" spans="5:14" x14ac:dyDescent="0.2">
      <c r="J615" s="17"/>
      <c r="K615" s="17"/>
    </row>
    <row r="616" spans="5:14" ht="12.75" x14ac:dyDescent="0.2">
      <c r="E616" s="54"/>
      <c r="F616" s="55"/>
      <c r="G616" s="56">
        <f>SUM(G9:G615)</f>
        <v>0</v>
      </c>
      <c r="N616" s="54"/>
    </row>
  </sheetData>
  <mergeCells count="5">
    <mergeCell ref="I3:K3"/>
    <mergeCell ref="M3:M4"/>
    <mergeCell ref="B3:B4"/>
    <mergeCell ref="C3:C4"/>
    <mergeCell ref="E3:G3"/>
  </mergeCells>
  <dataValidations count="2">
    <dataValidation type="list" allowBlank="1" showInputMessage="1" showErrorMessage="1" sqref="B9:C614" xr:uid="{32C560B4-8E24-4299-989F-4AA529EBB476}">
      <formula1>Compadjust</formula1>
    </dataValidation>
    <dataValidation type="list" allowBlank="1" showInputMessage="1" showErrorMessage="1" sqref="L9:M613" xr:uid="{257ED9D9-2C15-46AF-8F02-509E964942EB}">
      <formula1>Taxes</formula1>
    </dataValidation>
  </dataValidation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C89D9-60E5-4EDE-8E58-0A0140BAFC9B}">
  <dimension ref="A1:O669"/>
  <sheetViews>
    <sheetView showGridLines="0" zoomScale="85" zoomScaleNormal="85" workbookViewId="0">
      <selection activeCell="B10" sqref="B10"/>
    </sheetView>
  </sheetViews>
  <sheetFormatPr defaultColWidth="11.56640625" defaultRowHeight="10.5" x14ac:dyDescent="0.2"/>
  <cols>
    <col min="1" max="1" width="3.62890625" style="17" bestFit="1" customWidth="1"/>
    <col min="2" max="2" width="50.4453125" style="36" customWidth="1"/>
    <col min="3" max="3" width="15.33203125" style="13" customWidth="1"/>
    <col min="4" max="4" width="0.94140625" style="13" customWidth="1"/>
    <col min="5" max="5" width="16.6796875" style="13" bestFit="1" customWidth="1"/>
    <col min="6" max="6" width="12.64453125" style="10" customWidth="1"/>
    <col min="7" max="7" width="17.3515625" style="13" bestFit="1" customWidth="1"/>
    <col min="8" max="8" width="0.94140625" style="13" customWidth="1"/>
    <col min="9" max="9" width="19.90625" style="13" bestFit="1" customWidth="1"/>
    <col min="10" max="10" width="14.125" style="13" customWidth="1"/>
    <col min="11" max="11" width="16.6796875" style="13" bestFit="1" customWidth="1"/>
    <col min="12" max="12" width="0.94140625" style="13" customWidth="1"/>
    <col min="13" max="13" width="17.08203125" style="13" bestFit="1" customWidth="1"/>
    <col min="14" max="14" width="8.609375" style="13" customWidth="1"/>
    <col min="15" max="15" width="12.9140625" style="10" customWidth="1"/>
    <col min="16" max="16384" width="11.56640625" style="13"/>
  </cols>
  <sheetData>
    <row r="1" spans="2:15" ht="19.5" x14ac:dyDescent="0.1">
      <c r="B1" s="11" t="s">
        <v>3380</v>
      </c>
      <c r="C1" s="12"/>
      <c r="E1" s="14" t="s">
        <v>1728</v>
      </c>
      <c r="F1" s="12" t="s">
        <v>3381</v>
      </c>
      <c r="G1" s="15">
        <v>210625166</v>
      </c>
      <c r="J1" s="12" t="s">
        <v>3382</v>
      </c>
      <c r="K1" s="16">
        <v>2021</v>
      </c>
    </row>
    <row r="2" spans="2:15" x14ac:dyDescent="0.2">
      <c r="B2" s="20"/>
      <c r="C2" s="15"/>
      <c r="F2" s="13"/>
      <c r="J2" s="21"/>
      <c r="M2" s="22"/>
    </row>
    <row r="3" spans="2:15" ht="13.5" customHeight="1" x14ac:dyDescent="0.2">
      <c r="B3" s="427" t="s">
        <v>3383</v>
      </c>
      <c r="C3" s="427" t="s">
        <v>3384</v>
      </c>
      <c r="E3" s="425" t="s">
        <v>3385</v>
      </c>
      <c r="F3" s="426"/>
      <c r="G3" s="427"/>
      <c r="I3" s="425" t="s">
        <v>3386</v>
      </c>
      <c r="J3" s="426"/>
      <c r="K3" s="427"/>
      <c r="M3" s="426" t="s">
        <v>3387</v>
      </c>
    </row>
    <row r="4" spans="2:15" ht="11.25" thickBot="1" x14ac:dyDescent="0.25">
      <c r="B4" s="430"/>
      <c r="C4" s="430"/>
      <c r="E4" s="18" t="s">
        <v>3388</v>
      </c>
      <c r="F4" s="19" t="s">
        <v>3389</v>
      </c>
      <c r="G4" s="27" t="s">
        <v>3390</v>
      </c>
      <c r="I4" s="18" t="s">
        <v>3388</v>
      </c>
      <c r="J4" s="19" t="s">
        <v>3389</v>
      </c>
      <c r="K4" s="27" t="s">
        <v>3390</v>
      </c>
      <c r="M4" s="428"/>
    </row>
    <row r="5" spans="2:15" ht="13.5" customHeight="1" x14ac:dyDescent="0.2">
      <c r="B5" s="193" t="s">
        <v>3391</v>
      </c>
      <c r="C5" s="24"/>
      <c r="E5" s="25">
        <f>SUM(E6:E7)</f>
        <v>0</v>
      </c>
      <c r="F5" s="25">
        <f>SUM(F6:F7)</f>
        <v>0</v>
      </c>
      <c r="G5" s="25">
        <f>SUM(G6:G7)</f>
        <v>0</v>
      </c>
      <c r="I5" s="185">
        <f>SUM(I6:I7)</f>
        <v>202092508238</v>
      </c>
      <c r="J5" s="185">
        <f>SUM(J6:J7)</f>
        <v>0</v>
      </c>
      <c r="K5" s="185">
        <f>SUM(K6:K7)</f>
        <v>202092508238</v>
      </c>
      <c r="L5" s="183"/>
      <c r="M5" s="185">
        <f>SUM(M6:M7)</f>
        <v>-202092508238</v>
      </c>
    </row>
    <row r="6" spans="2:15" ht="19.5" x14ac:dyDescent="0.1">
      <c r="B6" s="29" t="s">
        <v>3392</v>
      </c>
      <c r="C6" s="17" t="s">
        <v>3393</v>
      </c>
      <c r="E6" s="9">
        <v>0</v>
      </c>
      <c r="F6" s="9">
        <v>0</v>
      </c>
      <c r="G6" s="9">
        <v>0</v>
      </c>
      <c r="I6" s="184">
        <v>195292829573</v>
      </c>
      <c r="J6" s="184">
        <v>0</v>
      </c>
      <c r="K6" s="184">
        <f>I6-J66</f>
        <v>195292829573</v>
      </c>
      <c r="L6" s="183"/>
      <c r="M6" s="184">
        <f t="shared" ref="M6:M7" si="0">G6-K6</f>
        <v>-195292829573</v>
      </c>
      <c r="N6" s="26"/>
      <c r="O6" s="28"/>
    </row>
    <row r="7" spans="2:15" x14ac:dyDescent="0.2">
      <c r="B7" s="29" t="s">
        <v>3394</v>
      </c>
      <c r="C7" s="17" t="s">
        <v>3393</v>
      </c>
      <c r="E7" s="9">
        <v>0</v>
      </c>
      <c r="F7" s="9">
        <v>0</v>
      </c>
      <c r="G7" s="9">
        <v>0</v>
      </c>
      <c r="I7" s="184">
        <v>6799678665</v>
      </c>
      <c r="J7" s="184">
        <v>0</v>
      </c>
      <c r="K7" s="184">
        <f>I7-J7</f>
        <v>6799678665</v>
      </c>
      <c r="L7" s="183"/>
      <c r="M7" s="184">
        <f t="shared" si="0"/>
        <v>-6799678665</v>
      </c>
      <c r="N7" s="26"/>
      <c r="O7" s="28"/>
    </row>
    <row r="8" spans="2:15" x14ac:dyDescent="0.2">
      <c r="B8" s="33" t="s">
        <v>3399</v>
      </c>
      <c r="C8" s="33"/>
      <c r="E8" s="34">
        <f>E5</f>
        <v>0</v>
      </c>
      <c r="F8" s="34">
        <f>F5</f>
        <v>0</v>
      </c>
      <c r="G8" s="34">
        <f>G5</f>
        <v>0</v>
      </c>
      <c r="H8" s="21"/>
      <c r="I8" s="186">
        <f>SUM(I6:I7)</f>
        <v>202092508238</v>
      </c>
      <c r="J8" s="186">
        <f>SUM(J6:J7)</f>
        <v>0</v>
      </c>
      <c r="K8" s="186">
        <f>SUM(K6:K7)</f>
        <v>202092508238</v>
      </c>
      <c r="L8" s="187"/>
      <c r="M8" s="186">
        <f t="shared" ref="M8" si="1">M5</f>
        <v>-202092508238</v>
      </c>
    </row>
    <row r="9" spans="2:15" x14ac:dyDescent="0.2">
      <c r="B9" s="20"/>
      <c r="C9" s="15"/>
      <c r="F9" s="32"/>
      <c r="G9" s="32"/>
      <c r="I9" s="32"/>
      <c r="J9" s="32"/>
      <c r="K9" s="32"/>
      <c r="M9" s="32"/>
    </row>
    <row r="10" spans="2:15" ht="12.75" x14ac:dyDescent="0.1">
      <c r="B10" s="363" t="s">
        <v>3409</v>
      </c>
      <c r="E10" s="30"/>
      <c r="F10" s="42"/>
      <c r="G10" s="38"/>
      <c r="I10" s="39"/>
      <c r="J10" s="17"/>
      <c r="K10" s="17"/>
      <c r="N10" s="10"/>
      <c r="O10" s="40"/>
    </row>
    <row r="11" spans="2:15" x14ac:dyDescent="0.1">
      <c r="E11" s="30"/>
      <c r="F11" s="42"/>
      <c r="G11" s="38"/>
      <c r="I11" s="39"/>
      <c r="J11" s="17"/>
      <c r="K11" s="17"/>
      <c r="N11" s="10"/>
      <c r="O11" s="45"/>
    </row>
    <row r="12" spans="2:15" x14ac:dyDescent="0.1">
      <c r="E12" s="30"/>
      <c r="F12" s="42"/>
      <c r="G12" s="38"/>
      <c r="I12" s="39"/>
      <c r="J12" s="17"/>
      <c r="K12" s="17"/>
      <c r="N12" s="10"/>
      <c r="O12" s="45"/>
    </row>
    <row r="13" spans="2:15" x14ac:dyDescent="0.1">
      <c r="E13" s="30"/>
      <c r="F13" s="42"/>
      <c r="G13" s="46"/>
      <c r="J13" s="17"/>
      <c r="K13" s="17"/>
      <c r="M13" s="47"/>
      <c r="N13" s="48"/>
      <c r="O13" s="49"/>
    </row>
    <row r="14" spans="2:15" x14ac:dyDescent="0.1">
      <c r="E14" s="30"/>
      <c r="F14" s="42"/>
      <c r="G14" s="50"/>
      <c r="J14" s="17"/>
      <c r="K14" s="17"/>
      <c r="M14" s="17"/>
      <c r="N14" s="48"/>
      <c r="O14" s="49"/>
    </row>
    <row r="15" spans="2:15" x14ac:dyDescent="0.1">
      <c r="E15" s="30"/>
      <c r="F15" s="42"/>
      <c r="G15" s="50"/>
      <c r="J15" s="17"/>
      <c r="K15" s="17"/>
      <c r="M15" s="47"/>
      <c r="N15" s="10"/>
      <c r="O15" s="45"/>
    </row>
    <row r="16" spans="2:15" x14ac:dyDescent="0.1">
      <c r="E16" s="30"/>
      <c r="F16" s="42"/>
      <c r="G16" s="50"/>
      <c r="J16" s="17"/>
      <c r="K16" s="17"/>
      <c r="M16" s="47"/>
      <c r="N16" s="10"/>
      <c r="O16" s="45"/>
    </row>
    <row r="17" spans="5:15" x14ac:dyDescent="0.1">
      <c r="E17" s="30"/>
      <c r="F17" s="42"/>
      <c r="G17" s="50"/>
      <c r="J17" s="17"/>
      <c r="K17" s="17"/>
      <c r="N17" s="10"/>
      <c r="O17" s="45"/>
    </row>
    <row r="18" spans="5:15" x14ac:dyDescent="0.1">
      <c r="E18" s="30"/>
      <c r="F18" s="42"/>
      <c r="G18" s="50"/>
      <c r="J18" s="17"/>
      <c r="K18" s="17"/>
      <c r="N18" s="10"/>
      <c r="O18" s="51"/>
    </row>
    <row r="19" spans="5:15" x14ac:dyDescent="0.1">
      <c r="E19" s="30"/>
      <c r="F19" s="42"/>
      <c r="G19" s="50"/>
      <c r="J19" s="17"/>
      <c r="K19" s="17"/>
      <c r="N19" s="10"/>
      <c r="O19" s="51"/>
    </row>
    <row r="20" spans="5:15" x14ac:dyDescent="0.1">
      <c r="E20" s="30"/>
      <c r="F20" s="42"/>
      <c r="G20" s="50"/>
      <c r="J20" s="17"/>
      <c r="K20" s="17"/>
      <c r="N20" s="10"/>
      <c r="O20" s="51"/>
    </row>
    <row r="21" spans="5:15" x14ac:dyDescent="0.1">
      <c r="E21" s="30"/>
      <c r="F21" s="42"/>
      <c r="G21" s="50"/>
      <c r="J21" s="17"/>
      <c r="K21" s="17"/>
      <c r="N21" s="10"/>
      <c r="O21" s="51"/>
    </row>
    <row r="22" spans="5:15" x14ac:dyDescent="0.1">
      <c r="E22" s="30"/>
      <c r="F22" s="42"/>
      <c r="G22" s="50"/>
      <c r="J22" s="17"/>
      <c r="K22" s="17"/>
      <c r="N22" s="10"/>
      <c r="O22" s="51"/>
    </row>
    <row r="23" spans="5:15" x14ac:dyDescent="0.1">
      <c r="E23" s="30"/>
      <c r="F23" s="42"/>
      <c r="G23" s="50"/>
      <c r="J23" s="17"/>
      <c r="K23" s="17"/>
      <c r="N23" s="10"/>
      <c r="O23" s="51"/>
    </row>
    <row r="24" spans="5:15" x14ac:dyDescent="0.1">
      <c r="E24" s="30"/>
      <c r="F24" s="42"/>
      <c r="G24" s="50"/>
      <c r="J24" s="17"/>
      <c r="K24" s="17"/>
      <c r="N24" s="10"/>
      <c r="O24" s="51"/>
    </row>
    <row r="25" spans="5:15" x14ac:dyDescent="0.1">
      <c r="E25" s="30"/>
      <c r="F25" s="42"/>
      <c r="G25" s="52"/>
      <c r="J25" s="17"/>
      <c r="K25" s="17"/>
      <c r="N25" s="10"/>
      <c r="O25" s="51"/>
    </row>
    <row r="26" spans="5:15" x14ac:dyDescent="0.1">
      <c r="E26" s="30"/>
      <c r="F26" s="42"/>
      <c r="G26" s="52"/>
      <c r="J26" s="17"/>
      <c r="K26" s="17"/>
      <c r="N26" s="10"/>
      <c r="O26" s="51"/>
    </row>
    <row r="27" spans="5:15" x14ac:dyDescent="0.1">
      <c r="E27" s="30"/>
      <c r="F27" s="42"/>
      <c r="G27" s="52"/>
      <c r="J27" s="17"/>
      <c r="K27" s="17"/>
      <c r="N27" s="10"/>
      <c r="O27" s="51"/>
    </row>
    <row r="28" spans="5:15" x14ac:dyDescent="0.1">
      <c r="E28" s="30"/>
      <c r="F28" s="42"/>
      <c r="G28" s="52"/>
      <c r="J28" s="17"/>
      <c r="K28" s="17"/>
      <c r="N28" s="10"/>
      <c r="O28" s="51"/>
    </row>
    <row r="29" spans="5:15" x14ac:dyDescent="0.1">
      <c r="E29" s="30"/>
      <c r="F29" s="42"/>
      <c r="G29" s="52"/>
      <c r="J29" s="17"/>
      <c r="K29" s="17"/>
      <c r="N29" s="10"/>
      <c r="O29" s="51"/>
    </row>
    <row r="30" spans="5:15" x14ac:dyDescent="0.1">
      <c r="E30" s="30"/>
      <c r="F30" s="42"/>
      <c r="G30" s="52"/>
      <c r="J30" s="17"/>
      <c r="K30" s="17"/>
      <c r="N30" s="10"/>
      <c r="O30" s="51"/>
    </row>
    <row r="31" spans="5:15" x14ac:dyDescent="0.1">
      <c r="E31" s="30"/>
      <c r="F31" s="42"/>
      <c r="G31" s="52"/>
      <c r="J31" s="17"/>
      <c r="K31" s="17"/>
      <c r="N31" s="10"/>
      <c r="O31" s="51"/>
    </row>
    <row r="32" spans="5:15" x14ac:dyDescent="0.1">
      <c r="E32" s="30"/>
      <c r="F32" s="42"/>
      <c r="G32" s="52"/>
      <c r="J32" s="17"/>
      <c r="K32" s="17"/>
      <c r="N32" s="10"/>
      <c r="O32" s="51"/>
    </row>
    <row r="33" spans="5:15" x14ac:dyDescent="0.1">
      <c r="E33" s="30"/>
      <c r="F33" s="42"/>
      <c r="G33" s="52"/>
      <c r="J33" s="17"/>
      <c r="K33" s="17"/>
      <c r="N33" s="10"/>
      <c r="O33" s="51"/>
    </row>
    <row r="34" spans="5:15" x14ac:dyDescent="0.1">
      <c r="E34" s="30"/>
      <c r="F34" s="42"/>
      <c r="G34" s="52"/>
      <c r="J34" s="17"/>
      <c r="K34" s="17"/>
      <c r="N34" s="10"/>
      <c r="O34" s="51"/>
    </row>
    <row r="35" spans="5:15" x14ac:dyDescent="0.1">
      <c r="E35" s="30"/>
      <c r="F35" s="42"/>
      <c r="G35" s="52"/>
      <c r="J35" s="17"/>
      <c r="K35" s="17"/>
      <c r="N35" s="10"/>
      <c r="O35" s="51"/>
    </row>
    <row r="36" spans="5:15" x14ac:dyDescent="0.1">
      <c r="E36" s="30"/>
      <c r="F36" s="42"/>
      <c r="G36" s="52"/>
      <c r="J36" s="17"/>
      <c r="K36" s="17"/>
      <c r="N36" s="10"/>
      <c r="O36" s="51"/>
    </row>
    <row r="37" spans="5:15" x14ac:dyDescent="0.1">
      <c r="E37" s="30"/>
      <c r="F37" s="42"/>
      <c r="G37" s="52"/>
      <c r="J37" s="17"/>
      <c r="K37" s="17"/>
      <c r="N37" s="10"/>
      <c r="O37" s="51"/>
    </row>
    <row r="38" spans="5:15" x14ac:dyDescent="0.1">
      <c r="E38" s="30"/>
      <c r="F38" s="42"/>
      <c r="G38" s="52"/>
      <c r="J38" s="17"/>
      <c r="K38" s="17"/>
      <c r="N38" s="10"/>
      <c r="O38" s="51"/>
    </row>
    <row r="39" spans="5:15" x14ac:dyDescent="0.1">
      <c r="E39" s="30"/>
      <c r="F39" s="42"/>
      <c r="G39" s="52"/>
      <c r="J39" s="17"/>
      <c r="K39" s="17"/>
      <c r="N39" s="10"/>
      <c r="O39" s="51"/>
    </row>
    <row r="40" spans="5:15" x14ac:dyDescent="0.1">
      <c r="E40" s="30"/>
      <c r="F40" s="42"/>
      <c r="G40" s="52"/>
      <c r="J40" s="17"/>
      <c r="K40" s="17"/>
      <c r="N40" s="10"/>
      <c r="O40" s="51"/>
    </row>
    <row r="41" spans="5:15" x14ac:dyDescent="0.1">
      <c r="E41" s="30"/>
      <c r="F41" s="42"/>
      <c r="G41" s="52"/>
      <c r="J41" s="17"/>
      <c r="K41" s="17"/>
      <c r="N41" s="10"/>
      <c r="O41" s="51"/>
    </row>
    <row r="42" spans="5:15" x14ac:dyDescent="0.1">
      <c r="E42" s="30"/>
      <c r="F42" s="42"/>
      <c r="G42" s="52"/>
      <c r="J42" s="17"/>
      <c r="K42" s="17"/>
      <c r="N42" s="10"/>
      <c r="O42" s="51"/>
    </row>
    <row r="43" spans="5:15" x14ac:dyDescent="0.1">
      <c r="E43" s="30"/>
      <c r="F43" s="42"/>
      <c r="G43" s="52"/>
      <c r="J43" s="17"/>
      <c r="K43" s="17"/>
      <c r="N43" s="10"/>
      <c r="O43" s="51"/>
    </row>
    <row r="44" spans="5:15" x14ac:dyDescent="0.1">
      <c r="E44" s="30"/>
      <c r="F44" s="42"/>
      <c r="G44" s="52"/>
      <c r="J44" s="17"/>
      <c r="K44" s="17"/>
      <c r="N44" s="10"/>
      <c r="O44" s="51"/>
    </row>
    <row r="45" spans="5:15" x14ac:dyDescent="0.1">
      <c r="E45" s="30"/>
      <c r="F45" s="42"/>
      <c r="G45" s="52"/>
      <c r="J45" s="17"/>
      <c r="K45" s="17"/>
      <c r="N45" s="10"/>
      <c r="O45" s="51"/>
    </row>
    <row r="46" spans="5:15" x14ac:dyDescent="0.1">
      <c r="E46" s="30"/>
      <c r="F46" s="42"/>
      <c r="G46" s="52"/>
      <c r="J46" s="17"/>
      <c r="K46" s="17"/>
      <c r="N46" s="10"/>
      <c r="O46" s="51"/>
    </row>
    <row r="47" spans="5:15" x14ac:dyDescent="0.1">
      <c r="E47" s="30"/>
      <c r="F47" s="42"/>
      <c r="G47" s="52"/>
      <c r="J47" s="17"/>
      <c r="K47" s="17"/>
      <c r="N47" s="10"/>
      <c r="O47" s="51"/>
    </row>
    <row r="48" spans="5:15" x14ac:dyDescent="0.1">
      <c r="E48" s="30"/>
      <c r="F48" s="42"/>
      <c r="G48" s="52"/>
      <c r="J48" s="17"/>
      <c r="K48" s="17"/>
      <c r="N48" s="10"/>
      <c r="O48" s="51"/>
    </row>
    <row r="49" spans="5:15" x14ac:dyDescent="0.1">
      <c r="E49" s="30"/>
      <c r="F49" s="42"/>
      <c r="G49" s="52"/>
      <c r="J49" s="17"/>
      <c r="K49" s="17"/>
      <c r="N49" s="10"/>
      <c r="O49" s="45"/>
    </row>
    <row r="50" spans="5:15" x14ac:dyDescent="0.1">
      <c r="E50" s="30"/>
      <c r="F50" s="42"/>
      <c r="G50" s="52"/>
      <c r="J50" s="17"/>
      <c r="K50" s="17"/>
      <c r="N50" s="10"/>
      <c r="O50" s="45"/>
    </row>
    <row r="51" spans="5:15" x14ac:dyDescent="0.1">
      <c r="E51" s="30"/>
      <c r="F51" s="42"/>
      <c r="G51" s="52"/>
      <c r="J51" s="17"/>
      <c r="K51" s="17"/>
      <c r="N51" s="10"/>
      <c r="O51" s="45"/>
    </row>
    <row r="52" spans="5:15" x14ac:dyDescent="0.1">
      <c r="E52" s="30"/>
      <c r="F52" s="42"/>
      <c r="G52" s="52"/>
      <c r="J52" s="17"/>
      <c r="K52" s="17"/>
      <c r="N52" s="10"/>
      <c r="O52" s="45"/>
    </row>
    <row r="53" spans="5:15" x14ac:dyDescent="0.1">
      <c r="E53" s="30"/>
      <c r="F53" s="42"/>
      <c r="G53" s="52"/>
      <c r="J53" s="17"/>
      <c r="K53" s="17"/>
      <c r="N53" s="10"/>
      <c r="O53" s="45"/>
    </row>
    <row r="54" spans="5:15" x14ac:dyDescent="0.1">
      <c r="E54" s="30"/>
      <c r="F54" s="42"/>
      <c r="G54" s="52"/>
      <c r="J54" s="17"/>
      <c r="K54" s="17"/>
      <c r="N54" s="10"/>
      <c r="O54" s="45"/>
    </row>
    <row r="55" spans="5:15" x14ac:dyDescent="0.1">
      <c r="E55" s="30"/>
      <c r="F55" s="42"/>
      <c r="G55" s="52"/>
      <c r="J55" s="17"/>
      <c r="K55" s="17"/>
      <c r="N55" s="10"/>
      <c r="O55" s="45"/>
    </row>
    <row r="56" spans="5:15" x14ac:dyDescent="0.1">
      <c r="E56" s="30"/>
      <c r="F56" s="42"/>
      <c r="G56" s="52"/>
      <c r="J56" s="17"/>
      <c r="K56" s="17"/>
      <c r="N56" s="10"/>
      <c r="O56" s="45"/>
    </row>
    <row r="57" spans="5:15" x14ac:dyDescent="0.1">
      <c r="E57" s="30"/>
      <c r="F57" s="42"/>
      <c r="G57" s="52"/>
      <c r="J57" s="17"/>
      <c r="K57" s="17"/>
      <c r="N57" s="10"/>
      <c r="O57" s="45"/>
    </row>
    <row r="58" spans="5:15" x14ac:dyDescent="0.1">
      <c r="E58" s="30"/>
      <c r="F58" s="42"/>
      <c r="G58" s="52"/>
      <c r="J58" s="17"/>
      <c r="K58" s="17"/>
      <c r="N58" s="10"/>
      <c r="O58" s="45"/>
    </row>
    <row r="59" spans="5:15" x14ac:dyDescent="0.1">
      <c r="E59" s="30"/>
      <c r="F59" s="42"/>
      <c r="G59" s="52"/>
      <c r="J59" s="17"/>
      <c r="K59" s="17"/>
      <c r="N59" s="10"/>
      <c r="O59" s="45"/>
    </row>
    <row r="60" spans="5:15" x14ac:dyDescent="0.1">
      <c r="E60" s="30"/>
      <c r="F60" s="42"/>
      <c r="G60" s="52"/>
      <c r="J60" s="17"/>
      <c r="K60" s="17"/>
      <c r="N60" s="10"/>
      <c r="O60" s="45"/>
    </row>
    <row r="61" spans="5:15" x14ac:dyDescent="0.1">
      <c r="E61" s="30"/>
      <c r="F61" s="42"/>
      <c r="G61" s="52"/>
      <c r="J61" s="17"/>
      <c r="K61" s="17"/>
      <c r="N61" s="10"/>
      <c r="O61" s="45"/>
    </row>
    <row r="62" spans="5:15" x14ac:dyDescent="0.1">
      <c r="E62" s="30"/>
      <c r="F62" s="42"/>
      <c r="G62" s="52"/>
      <c r="J62" s="17"/>
      <c r="K62" s="17"/>
      <c r="N62" s="10"/>
      <c r="O62" s="45"/>
    </row>
    <row r="63" spans="5:15" x14ac:dyDescent="0.1">
      <c r="E63" s="30"/>
      <c r="F63" s="42"/>
      <c r="G63" s="52"/>
      <c r="J63" s="17"/>
      <c r="K63" s="17"/>
      <c r="N63" s="10"/>
      <c r="O63" s="45"/>
    </row>
    <row r="64" spans="5:15" x14ac:dyDescent="0.1">
      <c r="E64" s="30"/>
      <c r="F64" s="42"/>
      <c r="G64" s="52"/>
      <c r="J64" s="17"/>
      <c r="K64" s="17"/>
      <c r="N64" s="10"/>
      <c r="O64" s="45"/>
    </row>
    <row r="65" spans="5:15" x14ac:dyDescent="0.1">
      <c r="E65" s="30"/>
      <c r="F65" s="42"/>
      <c r="G65" s="52"/>
      <c r="J65" s="17"/>
      <c r="K65" s="17"/>
      <c r="N65" s="10"/>
      <c r="O65" s="45"/>
    </row>
    <row r="66" spans="5:15" x14ac:dyDescent="0.1">
      <c r="E66" s="30"/>
      <c r="F66" s="42"/>
      <c r="G66" s="52"/>
      <c r="J66" s="17"/>
      <c r="K66" s="17"/>
      <c r="N66" s="10"/>
      <c r="O66" s="45"/>
    </row>
    <row r="67" spans="5:15" x14ac:dyDescent="0.1">
      <c r="E67" s="30"/>
      <c r="F67" s="42"/>
      <c r="G67" s="52"/>
      <c r="J67" s="17"/>
      <c r="K67" s="17"/>
      <c r="N67" s="10"/>
      <c r="O67" s="45"/>
    </row>
    <row r="68" spans="5:15" x14ac:dyDescent="0.1">
      <c r="E68" s="30"/>
      <c r="F68" s="42"/>
      <c r="G68" s="52"/>
      <c r="J68" s="17"/>
      <c r="K68" s="17"/>
      <c r="N68" s="10"/>
      <c r="O68" s="45"/>
    </row>
    <row r="69" spans="5:15" x14ac:dyDescent="0.1">
      <c r="E69" s="30"/>
      <c r="F69" s="42"/>
      <c r="G69" s="52"/>
      <c r="J69" s="17"/>
      <c r="K69" s="17"/>
      <c r="N69" s="10"/>
      <c r="O69" s="45"/>
    </row>
    <row r="70" spans="5:15" x14ac:dyDescent="0.1">
      <c r="E70" s="30"/>
      <c r="F70" s="42"/>
      <c r="G70" s="52"/>
      <c r="J70" s="17"/>
      <c r="K70" s="17"/>
      <c r="N70" s="10"/>
      <c r="O70" s="45"/>
    </row>
    <row r="71" spans="5:15" x14ac:dyDescent="0.1">
      <c r="E71" s="30"/>
      <c r="F71" s="42"/>
      <c r="G71" s="52"/>
      <c r="J71" s="17"/>
      <c r="K71" s="17"/>
      <c r="N71" s="10"/>
      <c r="O71" s="45"/>
    </row>
    <row r="72" spans="5:15" x14ac:dyDescent="0.1">
      <c r="E72" s="30"/>
      <c r="F72" s="42"/>
      <c r="G72" s="52"/>
      <c r="J72" s="17"/>
      <c r="K72" s="17"/>
      <c r="N72" s="10"/>
      <c r="O72" s="45"/>
    </row>
    <row r="73" spans="5:15" x14ac:dyDescent="0.1">
      <c r="E73" s="30"/>
      <c r="F73" s="42"/>
      <c r="G73" s="52"/>
      <c r="J73" s="17"/>
      <c r="K73" s="17"/>
      <c r="N73" s="10"/>
      <c r="O73" s="45"/>
    </row>
    <row r="74" spans="5:15" x14ac:dyDescent="0.1">
      <c r="E74" s="30"/>
      <c r="F74" s="42"/>
      <c r="G74" s="52"/>
      <c r="J74" s="17"/>
      <c r="K74" s="17"/>
      <c r="N74" s="10"/>
      <c r="O74" s="45"/>
    </row>
    <row r="75" spans="5:15" x14ac:dyDescent="0.1">
      <c r="E75" s="30"/>
      <c r="F75" s="42"/>
      <c r="G75" s="52"/>
      <c r="J75" s="17"/>
      <c r="K75" s="17"/>
      <c r="N75" s="10"/>
      <c r="O75" s="45"/>
    </row>
    <row r="76" spans="5:15" x14ac:dyDescent="0.1">
      <c r="E76" s="30"/>
      <c r="F76" s="42"/>
      <c r="G76" s="52"/>
      <c r="J76" s="17"/>
      <c r="K76" s="17"/>
      <c r="N76" s="10"/>
      <c r="O76" s="45"/>
    </row>
    <row r="77" spans="5:15" x14ac:dyDescent="0.1">
      <c r="E77" s="30"/>
      <c r="F77" s="42"/>
      <c r="G77" s="52"/>
      <c r="J77" s="17"/>
      <c r="K77" s="17"/>
      <c r="N77" s="10"/>
      <c r="O77" s="45"/>
    </row>
    <row r="78" spans="5:15" x14ac:dyDescent="0.1">
      <c r="E78" s="30"/>
      <c r="F78" s="42"/>
      <c r="G78" s="52"/>
      <c r="J78" s="17"/>
      <c r="K78" s="17"/>
      <c r="N78" s="10"/>
      <c r="O78" s="45"/>
    </row>
    <row r="79" spans="5:15" x14ac:dyDescent="0.1">
      <c r="E79" s="30"/>
      <c r="F79" s="42"/>
      <c r="G79" s="52"/>
      <c r="J79" s="17"/>
      <c r="K79" s="17"/>
      <c r="N79" s="10"/>
      <c r="O79" s="45"/>
    </row>
    <row r="80" spans="5:15" x14ac:dyDescent="0.1">
      <c r="E80" s="30"/>
      <c r="F80" s="42"/>
      <c r="G80" s="52"/>
      <c r="J80" s="17"/>
      <c r="K80" s="17"/>
      <c r="N80" s="10"/>
      <c r="O80" s="45"/>
    </row>
    <row r="81" spans="5:15" x14ac:dyDescent="0.1">
      <c r="E81" s="30"/>
      <c r="F81" s="42"/>
      <c r="G81" s="52"/>
      <c r="J81" s="17"/>
      <c r="K81" s="17"/>
      <c r="N81" s="10"/>
      <c r="O81" s="45"/>
    </row>
    <row r="82" spans="5:15" x14ac:dyDescent="0.1">
      <c r="E82" s="30"/>
      <c r="F82" s="42"/>
      <c r="G82" s="52"/>
      <c r="J82" s="17"/>
      <c r="K82" s="17"/>
      <c r="N82" s="10"/>
      <c r="O82" s="45"/>
    </row>
    <row r="83" spans="5:15" x14ac:dyDescent="0.1">
      <c r="E83" s="30"/>
      <c r="F83" s="42"/>
      <c r="G83" s="52"/>
      <c r="J83" s="17"/>
      <c r="K83" s="17"/>
      <c r="N83" s="10"/>
      <c r="O83" s="45"/>
    </row>
    <row r="84" spans="5:15" x14ac:dyDescent="0.1">
      <c r="E84" s="30"/>
      <c r="F84" s="42"/>
      <c r="G84" s="52"/>
      <c r="J84" s="17"/>
      <c r="K84" s="17"/>
      <c r="N84" s="10"/>
      <c r="O84" s="45"/>
    </row>
    <row r="85" spans="5:15" x14ac:dyDescent="0.1">
      <c r="E85" s="30"/>
      <c r="F85" s="42"/>
      <c r="G85" s="52"/>
      <c r="J85" s="17"/>
      <c r="K85" s="17"/>
      <c r="N85" s="10"/>
      <c r="O85" s="45"/>
    </row>
    <row r="86" spans="5:15" x14ac:dyDescent="0.1">
      <c r="E86" s="30"/>
      <c r="F86" s="42"/>
      <c r="G86" s="52"/>
      <c r="J86" s="17"/>
      <c r="K86" s="17"/>
      <c r="N86" s="10"/>
      <c r="O86" s="45"/>
    </row>
    <row r="87" spans="5:15" x14ac:dyDescent="0.1">
      <c r="E87" s="30"/>
      <c r="F87" s="42"/>
      <c r="G87" s="52"/>
      <c r="J87" s="17"/>
      <c r="K87" s="17"/>
      <c r="N87" s="10"/>
      <c r="O87" s="45"/>
    </row>
    <row r="88" spans="5:15" x14ac:dyDescent="0.1">
      <c r="E88" s="30"/>
      <c r="F88" s="42"/>
      <c r="G88" s="52"/>
      <c r="J88" s="17"/>
      <c r="K88" s="17"/>
      <c r="N88" s="10"/>
      <c r="O88" s="45"/>
    </row>
    <row r="89" spans="5:15" x14ac:dyDescent="0.1">
      <c r="E89" s="30"/>
      <c r="F89" s="42"/>
      <c r="G89" s="52"/>
      <c r="J89" s="17"/>
      <c r="K89" s="17"/>
      <c r="N89" s="10"/>
      <c r="O89" s="45"/>
    </row>
    <row r="90" spans="5:15" x14ac:dyDescent="0.1">
      <c r="E90" s="30"/>
      <c r="F90" s="42"/>
      <c r="G90" s="52"/>
      <c r="J90" s="17"/>
      <c r="K90" s="17"/>
      <c r="N90" s="10"/>
      <c r="O90" s="45"/>
    </row>
    <row r="91" spans="5:15" x14ac:dyDescent="0.1">
      <c r="E91" s="30"/>
      <c r="F91" s="42"/>
      <c r="G91" s="52"/>
      <c r="J91" s="17"/>
      <c r="K91" s="17"/>
      <c r="N91" s="10"/>
      <c r="O91" s="45"/>
    </row>
    <row r="92" spans="5:15" x14ac:dyDescent="0.1">
      <c r="E92" s="30"/>
      <c r="F92" s="42"/>
      <c r="G92" s="52"/>
      <c r="J92" s="17"/>
      <c r="K92" s="17"/>
      <c r="N92" s="10"/>
      <c r="O92" s="45"/>
    </row>
    <row r="93" spans="5:15" x14ac:dyDescent="0.1">
      <c r="E93" s="30"/>
      <c r="F93" s="42"/>
      <c r="G93" s="52"/>
      <c r="J93" s="17"/>
      <c r="K93" s="17"/>
      <c r="N93" s="10"/>
      <c r="O93" s="45"/>
    </row>
    <row r="94" spans="5:15" x14ac:dyDescent="0.1">
      <c r="E94" s="30"/>
      <c r="F94" s="42"/>
      <c r="G94" s="52"/>
      <c r="J94" s="17"/>
      <c r="K94" s="17"/>
      <c r="N94" s="10"/>
      <c r="O94" s="45"/>
    </row>
    <row r="95" spans="5:15" x14ac:dyDescent="0.1">
      <c r="E95" s="30"/>
      <c r="F95" s="42"/>
      <c r="G95" s="52"/>
      <c r="J95" s="17"/>
      <c r="K95" s="17"/>
      <c r="N95" s="10"/>
      <c r="O95" s="45"/>
    </row>
    <row r="96" spans="5:15" x14ac:dyDescent="0.1">
      <c r="E96" s="30"/>
      <c r="F96" s="42"/>
      <c r="G96" s="52"/>
      <c r="J96" s="17"/>
      <c r="K96" s="17"/>
      <c r="N96" s="10"/>
      <c r="O96" s="45"/>
    </row>
    <row r="97" spans="5:15" x14ac:dyDescent="0.1">
      <c r="E97" s="30"/>
      <c r="F97" s="42"/>
      <c r="G97" s="52"/>
      <c r="J97" s="17"/>
      <c r="K97" s="17"/>
      <c r="N97" s="10"/>
      <c r="O97" s="45"/>
    </row>
    <row r="98" spans="5:15" x14ac:dyDescent="0.1">
      <c r="E98" s="30"/>
      <c r="F98" s="42"/>
      <c r="G98" s="52"/>
      <c r="J98" s="17"/>
      <c r="K98" s="17"/>
      <c r="N98" s="10"/>
      <c r="O98" s="45"/>
    </row>
    <row r="99" spans="5:15" x14ac:dyDescent="0.1">
      <c r="E99" s="30"/>
      <c r="F99" s="42"/>
      <c r="G99" s="52"/>
      <c r="J99" s="17"/>
      <c r="K99" s="17"/>
      <c r="N99" s="10"/>
      <c r="O99" s="45"/>
    </row>
    <row r="100" spans="5:15" x14ac:dyDescent="0.1">
      <c r="E100" s="30"/>
      <c r="F100" s="42"/>
      <c r="G100" s="52"/>
      <c r="J100" s="17"/>
      <c r="K100" s="17"/>
      <c r="N100" s="10"/>
      <c r="O100" s="45"/>
    </row>
    <row r="101" spans="5:15" x14ac:dyDescent="0.1">
      <c r="E101" s="30"/>
      <c r="F101" s="42"/>
      <c r="G101" s="52"/>
      <c r="J101" s="17"/>
      <c r="K101" s="17"/>
      <c r="N101" s="10"/>
      <c r="O101" s="45"/>
    </row>
    <row r="102" spans="5:15" x14ac:dyDescent="0.1">
      <c r="E102" s="30"/>
      <c r="F102" s="42"/>
      <c r="G102" s="52"/>
      <c r="J102" s="17"/>
      <c r="K102" s="17"/>
      <c r="N102" s="10"/>
      <c r="O102" s="45"/>
    </row>
    <row r="103" spans="5:15" x14ac:dyDescent="0.1">
      <c r="E103" s="30"/>
      <c r="F103" s="42"/>
      <c r="G103" s="52"/>
      <c r="J103" s="17"/>
      <c r="K103" s="17"/>
      <c r="N103" s="10"/>
      <c r="O103" s="45"/>
    </row>
    <row r="104" spans="5:15" x14ac:dyDescent="0.1">
      <c r="E104" s="30"/>
      <c r="F104" s="42"/>
      <c r="G104" s="52"/>
      <c r="J104" s="17"/>
      <c r="K104" s="17"/>
      <c r="N104" s="10"/>
      <c r="O104" s="45"/>
    </row>
    <row r="105" spans="5:15" x14ac:dyDescent="0.2">
      <c r="E105" s="10"/>
      <c r="F105" s="53"/>
      <c r="G105" s="35"/>
      <c r="J105" s="17"/>
      <c r="K105" s="17"/>
      <c r="N105" s="10"/>
      <c r="O105" s="45"/>
    </row>
    <row r="106" spans="5:15" x14ac:dyDescent="0.2">
      <c r="E106" s="10"/>
      <c r="F106" s="53"/>
      <c r="G106" s="35"/>
      <c r="J106" s="17"/>
      <c r="K106" s="17"/>
      <c r="N106" s="10"/>
      <c r="O106" s="45"/>
    </row>
    <row r="107" spans="5:15" x14ac:dyDescent="0.2">
      <c r="E107" s="10"/>
      <c r="F107" s="53"/>
      <c r="G107" s="35"/>
      <c r="J107" s="17"/>
      <c r="K107" s="17"/>
      <c r="N107" s="10"/>
      <c r="O107" s="45"/>
    </row>
    <row r="108" spans="5:15" x14ac:dyDescent="0.2">
      <c r="E108" s="10"/>
      <c r="F108" s="53"/>
      <c r="G108" s="35"/>
      <c r="J108" s="17"/>
      <c r="K108" s="17"/>
      <c r="N108" s="10"/>
      <c r="O108" s="45"/>
    </row>
    <row r="109" spans="5:15" x14ac:dyDescent="0.2">
      <c r="E109" s="10"/>
      <c r="F109" s="53"/>
      <c r="G109" s="35"/>
      <c r="J109" s="17"/>
      <c r="K109" s="17"/>
      <c r="N109" s="10"/>
      <c r="O109" s="45"/>
    </row>
    <row r="110" spans="5:15" x14ac:dyDescent="0.2">
      <c r="E110" s="10"/>
      <c r="F110" s="53"/>
      <c r="G110" s="35"/>
      <c r="J110" s="17"/>
      <c r="K110" s="17"/>
      <c r="N110" s="10"/>
      <c r="O110" s="45"/>
    </row>
    <row r="111" spans="5:15" x14ac:dyDescent="0.2">
      <c r="E111" s="10"/>
      <c r="F111" s="53"/>
      <c r="G111" s="35"/>
      <c r="J111" s="17"/>
      <c r="K111" s="17"/>
      <c r="N111" s="10"/>
      <c r="O111" s="45"/>
    </row>
    <row r="112" spans="5:15" x14ac:dyDescent="0.2">
      <c r="E112" s="10"/>
      <c r="F112" s="53"/>
      <c r="G112" s="35"/>
      <c r="J112" s="17"/>
      <c r="K112" s="17"/>
      <c r="N112" s="10"/>
      <c r="O112" s="45"/>
    </row>
    <row r="113" spans="5:15" x14ac:dyDescent="0.2">
      <c r="E113" s="10"/>
      <c r="F113" s="53"/>
      <c r="G113" s="35"/>
      <c r="J113" s="17"/>
      <c r="K113" s="17"/>
      <c r="N113" s="10"/>
      <c r="O113" s="45"/>
    </row>
    <row r="114" spans="5:15" x14ac:dyDescent="0.2">
      <c r="E114" s="10"/>
      <c r="F114" s="53"/>
      <c r="G114" s="35"/>
      <c r="J114" s="17"/>
      <c r="K114" s="17"/>
      <c r="N114" s="10"/>
      <c r="O114" s="45"/>
    </row>
    <row r="115" spans="5:15" x14ac:dyDescent="0.2">
      <c r="E115" s="10"/>
      <c r="F115" s="53"/>
      <c r="G115" s="35"/>
      <c r="J115" s="17"/>
      <c r="K115" s="17"/>
      <c r="N115" s="10"/>
      <c r="O115" s="45"/>
    </row>
    <row r="116" spans="5:15" x14ac:dyDescent="0.2">
      <c r="E116" s="10"/>
      <c r="F116" s="53"/>
      <c r="G116" s="35"/>
      <c r="J116" s="17"/>
      <c r="K116" s="17"/>
      <c r="N116" s="10"/>
      <c r="O116" s="45"/>
    </row>
    <row r="117" spans="5:15" x14ac:dyDescent="0.2">
      <c r="E117" s="10"/>
      <c r="F117" s="53"/>
      <c r="G117" s="35"/>
      <c r="J117" s="17"/>
      <c r="K117" s="17"/>
      <c r="N117" s="10"/>
      <c r="O117" s="45"/>
    </row>
    <row r="118" spans="5:15" x14ac:dyDescent="0.2">
      <c r="E118" s="10"/>
      <c r="F118" s="53"/>
      <c r="G118" s="35"/>
      <c r="J118" s="17"/>
      <c r="K118" s="17"/>
      <c r="N118" s="10"/>
      <c r="O118" s="45"/>
    </row>
    <row r="119" spans="5:15" x14ac:dyDescent="0.2">
      <c r="E119" s="10"/>
      <c r="F119" s="53"/>
      <c r="G119" s="35"/>
      <c r="J119" s="17"/>
      <c r="K119" s="17"/>
      <c r="N119" s="10"/>
      <c r="O119" s="45"/>
    </row>
    <row r="120" spans="5:15" x14ac:dyDescent="0.2">
      <c r="E120" s="10"/>
      <c r="F120" s="53"/>
      <c r="G120" s="35"/>
      <c r="J120" s="17"/>
      <c r="K120" s="17"/>
      <c r="N120" s="10"/>
      <c r="O120" s="45"/>
    </row>
    <row r="121" spans="5:15" x14ac:dyDescent="0.2">
      <c r="E121" s="10"/>
      <c r="F121" s="53"/>
      <c r="G121" s="35"/>
      <c r="J121" s="17"/>
      <c r="K121" s="17"/>
      <c r="N121" s="10"/>
      <c r="O121" s="45"/>
    </row>
    <row r="122" spans="5:15" x14ac:dyDescent="0.2">
      <c r="E122" s="10"/>
      <c r="F122" s="53"/>
      <c r="G122" s="35"/>
      <c r="J122" s="17"/>
      <c r="K122" s="17"/>
      <c r="N122" s="10"/>
      <c r="O122" s="45"/>
    </row>
    <row r="123" spans="5:15" x14ac:dyDescent="0.2">
      <c r="E123" s="10"/>
      <c r="F123" s="53"/>
      <c r="G123" s="35"/>
      <c r="J123" s="17"/>
      <c r="K123" s="17"/>
      <c r="N123" s="10"/>
      <c r="O123" s="45"/>
    </row>
    <row r="124" spans="5:15" x14ac:dyDescent="0.2">
      <c r="E124" s="10"/>
      <c r="F124" s="53"/>
      <c r="G124" s="35"/>
      <c r="J124" s="17"/>
      <c r="K124" s="17"/>
      <c r="N124" s="10"/>
      <c r="O124" s="45"/>
    </row>
    <row r="125" spans="5:15" x14ac:dyDescent="0.2">
      <c r="E125" s="10"/>
      <c r="F125" s="53"/>
      <c r="G125" s="35"/>
      <c r="J125" s="17"/>
      <c r="K125" s="17"/>
      <c r="N125" s="10"/>
      <c r="O125" s="45"/>
    </row>
    <row r="126" spans="5:15" x14ac:dyDescent="0.2">
      <c r="E126" s="10"/>
      <c r="F126" s="53"/>
      <c r="G126" s="35"/>
      <c r="J126" s="17"/>
      <c r="K126" s="17"/>
      <c r="N126" s="10"/>
      <c r="O126" s="45"/>
    </row>
    <row r="127" spans="5:15" x14ac:dyDescent="0.2">
      <c r="E127" s="10"/>
      <c r="F127" s="53"/>
      <c r="G127" s="35"/>
      <c r="J127" s="17"/>
      <c r="K127" s="17"/>
      <c r="N127" s="10"/>
      <c r="O127" s="45"/>
    </row>
    <row r="128" spans="5:15" x14ac:dyDescent="0.2">
      <c r="E128" s="10"/>
      <c r="F128" s="53"/>
      <c r="G128" s="35"/>
      <c r="J128" s="17"/>
      <c r="K128" s="17"/>
      <c r="N128" s="10"/>
      <c r="O128" s="45"/>
    </row>
    <row r="129" spans="5:15" x14ac:dyDescent="0.2">
      <c r="E129" s="10"/>
      <c r="F129" s="53"/>
      <c r="G129" s="35"/>
      <c r="J129" s="17"/>
      <c r="K129" s="17"/>
      <c r="N129" s="10"/>
      <c r="O129" s="45"/>
    </row>
    <row r="130" spans="5:15" x14ac:dyDescent="0.2">
      <c r="E130" s="10"/>
      <c r="F130" s="53"/>
      <c r="G130" s="35"/>
      <c r="J130" s="17"/>
      <c r="K130" s="17"/>
      <c r="N130" s="10"/>
      <c r="O130" s="45"/>
    </row>
    <row r="131" spans="5:15" x14ac:dyDescent="0.2">
      <c r="E131" s="10"/>
      <c r="F131" s="53"/>
      <c r="G131" s="35"/>
      <c r="J131" s="17"/>
      <c r="K131" s="17"/>
      <c r="N131" s="10"/>
      <c r="O131" s="45"/>
    </row>
    <row r="132" spans="5:15" x14ac:dyDescent="0.2">
      <c r="E132" s="10"/>
      <c r="F132" s="53"/>
      <c r="G132" s="35"/>
      <c r="J132" s="17"/>
      <c r="K132" s="17"/>
      <c r="N132" s="10"/>
      <c r="O132" s="45"/>
    </row>
    <row r="133" spans="5:15" x14ac:dyDescent="0.2">
      <c r="E133" s="10"/>
      <c r="F133" s="53"/>
      <c r="G133" s="35"/>
      <c r="J133" s="17"/>
      <c r="K133" s="17"/>
      <c r="N133" s="10"/>
      <c r="O133" s="45"/>
    </row>
    <row r="134" spans="5:15" x14ac:dyDescent="0.2">
      <c r="E134" s="10"/>
      <c r="F134" s="53"/>
      <c r="G134" s="35"/>
      <c r="J134" s="17"/>
      <c r="K134" s="17"/>
      <c r="N134" s="10"/>
      <c r="O134" s="45"/>
    </row>
    <row r="135" spans="5:15" x14ac:dyDescent="0.2">
      <c r="E135" s="10"/>
      <c r="F135" s="53"/>
      <c r="G135" s="35"/>
      <c r="J135" s="17"/>
      <c r="K135" s="17"/>
      <c r="N135" s="10"/>
      <c r="O135" s="45"/>
    </row>
    <row r="136" spans="5:15" x14ac:dyDescent="0.2">
      <c r="E136" s="10"/>
      <c r="F136" s="53"/>
      <c r="G136" s="35"/>
      <c r="J136" s="17"/>
      <c r="K136" s="17"/>
      <c r="N136" s="10"/>
      <c r="O136" s="45"/>
    </row>
    <row r="137" spans="5:15" x14ac:dyDescent="0.2">
      <c r="E137" s="10"/>
      <c r="F137" s="53"/>
      <c r="G137" s="35"/>
      <c r="J137" s="17"/>
      <c r="K137" s="17"/>
      <c r="N137" s="10"/>
      <c r="O137" s="45"/>
    </row>
    <row r="138" spans="5:15" x14ac:dyDescent="0.2">
      <c r="E138" s="10"/>
      <c r="F138" s="53"/>
      <c r="G138" s="35"/>
      <c r="J138" s="17"/>
      <c r="K138" s="17"/>
      <c r="N138" s="10"/>
      <c r="O138" s="45"/>
    </row>
    <row r="139" spans="5:15" x14ac:dyDescent="0.2">
      <c r="E139" s="10"/>
      <c r="F139" s="53"/>
      <c r="G139" s="35"/>
      <c r="J139" s="17"/>
      <c r="K139" s="17"/>
      <c r="N139" s="10"/>
      <c r="O139" s="45"/>
    </row>
    <row r="140" spans="5:15" x14ac:dyDescent="0.2">
      <c r="E140" s="10"/>
      <c r="F140" s="53"/>
      <c r="G140" s="35"/>
      <c r="J140" s="17"/>
      <c r="K140" s="17"/>
      <c r="N140" s="10"/>
      <c r="O140" s="45"/>
    </row>
    <row r="141" spans="5:15" x14ac:dyDescent="0.2">
      <c r="E141" s="10"/>
      <c r="F141" s="53"/>
      <c r="G141" s="35"/>
      <c r="J141" s="17"/>
      <c r="K141" s="17"/>
      <c r="N141" s="10"/>
      <c r="O141" s="45"/>
    </row>
    <row r="142" spans="5:15" x14ac:dyDescent="0.2">
      <c r="E142" s="10"/>
      <c r="F142" s="53"/>
      <c r="G142" s="35"/>
      <c r="J142" s="17"/>
      <c r="K142" s="17"/>
      <c r="N142" s="10"/>
      <c r="O142" s="45"/>
    </row>
    <row r="143" spans="5:15" x14ac:dyDescent="0.2">
      <c r="E143" s="10"/>
      <c r="F143" s="53"/>
      <c r="G143" s="35"/>
      <c r="J143" s="17"/>
      <c r="K143" s="17"/>
      <c r="N143" s="10"/>
      <c r="O143" s="45"/>
    </row>
    <row r="144" spans="5:15" x14ac:dyDescent="0.2">
      <c r="E144" s="10"/>
      <c r="F144" s="53"/>
      <c r="G144" s="35"/>
      <c r="J144" s="17"/>
      <c r="K144" s="17"/>
      <c r="N144" s="10"/>
      <c r="O144" s="45"/>
    </row>
    <row r="145" spans="5:15" x14ac:dyDescent="0.2">
      <c r="E145" s="45"/>
      <c r="F145" s="53"/>
      <c r="G145" s="35"/>
      <c r="J145" s="17"/>
      <c r="K145" s="17"/>
      <c r="N145" s="10"/>
      <c r="O145" s="45"/>
    </row>
    <row r="146" spans="5:15" x14ac:dyDescent="0.2">
      <c r="E146" s="45"/>
      <c r="F146" s="53"/>
      <c r="G146" s="35"/>
      <c r="J146" s="17"/>
      <c r="K146" s="17"/>
      <c r="N146" s="10"/>
      <c r="O146" s="45"/>
    </row>
    <row r="147" spans="5:15" x14ac:dyDescent="0.2">
      <c r="E147" s="10"/>
      <c r="F147" s="53"/>
      <c r="G147" s="35"/>
      <c r="J147" s="17"/>
      <c r="K147" s="17"/>
      <c r="N147" s="10"/>
      <c r="O147" s="45"/>
    </row>
    <row r="148" spans="5:15" x14ac:dyDescent="0.2">
      <c r="E148" s="10"/>
      <c r="F148" s="53"/>
      <c r="G148" s="35"/>
      <c r="J148" s="17"/>
      <c r="K148" s="17"/>
      <c r="N148" s="10"/>
      <c r="O148" s="45"/>
    </row>
    <row r="149" spans="5:15" x14ac:dyDescent="0.2">
      <c r="E149" s="10"/>
      <c r="F149" s="53"/>
      <c r="G149" s="35"/>
      <c r="J149" s="17"/>
      <c r="K149" s="17"/>
      <c r="N149" s="10"/>
      <c r="O149" s="45"/>
    </row>
    <row r="150" spans="5:15" x14ac:dyDescent="0.2">
      <c r="E150" s="10"/>
      <c r="F150" s="53"/>
      <c r="G150" s="35"/>
      <c r="J150" s="17"/>
      <c r="K150" s="17"/>
      <c r="N150" s="10"/>
      <c r="O150" s="45"/>
    </row>
    <row r="151" spans="5:15" x14ac:dyDescent="0.2">
      <c r="E151" s="10"/>
      <c r="F151" s="53"/>
      <c r="G151" s="35"/>
      <c r="J151" s="17"/>
      <c r="K151" s="17"/>
      <c r="N151" s="10"/>
      <c r="O151" s="45"/>
    </row>
    <row r="152" spans="5:15" x14ac:dyDescent="0.2">
      <c r="E152" s="10"/>
      <c r="F152" s="53"/>
      <c r="G152" s="35"/>
      <c r="J152" s="17"/>
      <c r="K152" s="17"/>
      <c r="N152" s="10"/>
      <c r="O152" s="45"/>
    </row>
    <row r="153" spans="5:15" x14ac:dyDescent="0.2">
      <c r="E153" s="10"/>
      <c r="F153" s="53"/>
      <c r="G153" s="35"/>
      <c r="J153" s="17"/>
      <c r="K153" s="17"/>
      <c r="N153" s="10"/>
      <c r="O153" s="45"/>
    </row>
    <row r="154" spans="5:15" x14ac:dyDescent="0.2">
      <c r="E154" s="10"/>
      <c r="F154" s="53"/>
      <c r="G154" s="35"/>
      <c r="J154" s="17"/>
      <c r="K154" s="17"/>
      <c r="N154" s="10"/>
      <c r="O154" s="45"/>
    </row>
    <row r="155" spans="5:15" x14ac:dyDescent="0.2">
      <c r="E155" s="10"/>
      <c r="F155" s="53"/>
      <c r="G155" s="35"/>
      <c r="J155" s="17"/>
      <c r="K155" s="17"/>
      <c r="N155" s="10"/>
      <c r="O155" s="45"/>
    </row>
    <row r="156" spans="5:15" x14ac:dyDescent="0.2">
      <c r="E156" s="10"/>
      <c r="F156" s="53"/>
      <c r="G156" s="35"/>
      <c r="J156" s="17"/>
      <c r="K156" s="17"/>
      <c r="N156" s="10"/>
      <c r="O156" s="45"/>
    </row>
    <row r="157" spans="5:15" x14ac:dyDescent="0.2">
      <c r="E157" s="10"/>
      <c r="F157" s="53"/>
      <c r="G157" s="9"/>
      <c r="J157" s="17"/>
      <c r="K157" s="17"/>
      <c r="N157" s="10"/>
      <c r="O157" s="45"/>
    </row>
    <row r="158" spans="5:15" x14ac:dyDescent="0.2">
      <c r="E158" s="10"/>
      <c r="F158" s="53"/>
      <c r="G158" s="9"/>
      <c r="J158" s="17"/>
      <c r="K158" s="17"/>
      <c r="N158" s="10"/>
      <c r="O158" s="45"/>
    </row>
    <row r="159" spans="5:15" x14ac:dyDescent="0.2">
      <c r="E159" s="10"/>
      <c r="F159" s="53"/>
      <c r="G159" s="9"/>
      <c r="J159" s="17"/>
      <c r="K159" s="17"/>
      <c r="N159" s="10"/>
      <c r="O159" s="45"/>
    </row>
    <row r="160" spans="5:15" x14ac:dyDescent="0.2">
      <c r="E160" s="10"/>
      <c r="F160" s="53"/>
      <c r="G160" s="9"/>
      <c r="J160" s="17"/>
      <c r="K160" s="17"/>
      <c r="N160" s="10"/>
      <c r="O160" s="45"/>
    </row>
    <row r="161" spans="5:15" x14ac:dyDescent="0.2">
      <c r="E161" s="10"/>
      <c r="F161" s="53"/>
      <c r="G161" s="9"/>
      <c r="J161" s="17"/>
      <c r="K161" s="17"/>
      <c r="N161" s="10"/>
      <c r="O161" s="45"/>
    </row>
    <row r="162" spans="5:15" x14ac:dyDescent="0.2">
      <c r="E162" s="10"/>
      <c r="F162" s="53"/>
      <c r="G162" s="9"/>
      <c r="J162" s="17"/>
      <c r="K162" s="17"/>
      <c r="N162" s="10"/>
      <c r="O162" s="45"/>
    </row>
    <row r="163" spans="5:15" x14ac:dyDescent="0.2">
      <c r="E163" s="10"/>
      <c r="F163" s="53"/>
      <c r="G163" s="9"/>
      <c r="J163" s="17"/>
      <c r="K163" s="17"/>
      <c r="N163" s="10"/>
      <c r="O163" s="45"/>
    </row>
    <row r="164" spans="5:15" x14ac:dyDescent="0.2">
      <c r="E164" s="10"/>
      <c r="F164" s="53"/>
      <c r="G164" s="9"/>
      <c r="J164" s="17"/>
      <c r="K164" s="17"/>
      <c r="N164" s="10"/>
      <c r="O164" s="45"/>
    </row>
    <row r="165" spans="5:15" x14ac:dyDescent="0.2">
      <c r="E165" s="10"/>
      <c r="F165" s="53"/>
      <c r="G165" s="9"/>
      <c r="J165" s="17"/>
      <c r="K165" s="17"/>
      <c r="N165" s="10"/>
      <c r="O165" s="45"/>
    </row>
    <row r="166" spans="5:15" x14ac:dyDescent="0.2">
      <c r="E166" s="10"/>
      <c r="F166" s="53"/>
      <c r="G166" s="9"/>
      <c r="J166" s="17"/>
      <c r="K166" s="17"/>
      <c r="N166" s="10"/>
      <c r="O166" s="45"/>
    </row>
    <row r="167" spans="5:15" x14ac:dyDescent="0.2">
      <c r="E167" s="10"/>
      <c r="F167" s="53"/>
      <c r="G167" s="9"/>
      <c r="J167" s="17"/>
      <c r="K167" s="17"/>
      <c r="N167" s="10"/>
      <c r="O167" s="45"/>
    </row>
    <row r="168" spans="5:15" x14ac:dyDescent="0.2">
      <c r="E168" s="10"/>
      <c r="F168" s="53"/>
      <c r="G168" s="9"/>
      <c r="J168" s="17"/>
      <c r="K168" s="17"/>
      <c r="N168" s="10"/>
      <c r="O168" s="45"/>
    </row>
    <row r="169" spans="5:15" x14ac:dyDescent="0.2">
      <c r="E169" s="10"/>
      <c r="F169" s="53"/>
      <c r="G169" s="9"/>
      <c r="J169" s="17"/>
      <c r="K169" s="17"/>
      <c r="N169" s="10"/>
      <c r="O169" s="45"/>
    </row>
    <row r="170" spans="5:15" x14ac:dyDescent="0.2">
      <c r="E170" s="10"/>
      <c r="F170" s="53"/>
      <c r="G170" s="9"/>
      <c r="J170" s="17"/>
      <c r="K170" s="17"/>
      <c r="N170" s="10"/>
      <c r="O170" s="45"/>
    </row>
    <row r="171" spans="5:15" x14ac:dyDescent="0.2">
      <c r="E171" s="10"/>
      <c r="F171" s="53"/>
      <c r="G171" s="9"/>
      <c r="J171" s="17"/>
      <c r="K171" s="17"/>
      <c r="N171" s="10"/>
      <c r="O171" s="45"/>
    </row>
    <row r="172" spans="5:15" x14ac:dyDescent="0.2">
      <c r="E172" s="10"/>
      <c r="F172" s="53"/>
      <c r="G172" s="9"/>
      <c r="J172" s="17"/>
      <c r="K172" s="17"/>
      <c r="N172" s="10"/>
      <c r="O172" s="45"/>
    </row>
    <row r="173" spans="5:15" x14ac:dyDescent="0.2">
      <c r="E173" s="10"/>
      <c r="F173" s="53"/>
      <c r="G173" s="9"/>
      <c r="J173" s="17"/>
      <c r="K173" s="17"/>
      <c r="N173" s="10"/>
      <c r="O173" s="45"/>
    </row>
    <row r="174" spans="5:15" x14ac:dyDescent="0.2">
      <c r="E174" s="10"/>
      <c r="F174" s="53"/>
      <c r="G174" s="9"/>
      <c r="J174" s="17"/>
      <c r="K174" s="17"/>
      <c r="N174" s="10"/>
      <c r="O174" s="45"/>
    </row>
    <row r="175" spans="5:15" x14ac:dyDescent="0.2">
      <c r="E175" s="10"/>
      <c r="F175" s="53"/>
      <c r="G175" s="9"/>
      <c r="J175" s="17"/>
      <c r="K175" s="17"/>
      <c r="N175" s="10"/>
      <c r="O175" s="45"/>
    </row>
    <row r="176" spans="5:15" x14ac:dyDescent="0.2">
      <c r="E176" s="10"/>
      <c r="F176" s="53"/>
      <c r="G176" s="9"/>
      <c r="J176" s="17"/>
      <c r="K176" s="17"/>
      <c r="N176" s="10"/>
      <c r="O176" s="45"/>
    </row>
    <row r="177" spans="5:15" x14ac:dyDescent="0.2">
      <c r="E177" s="10"/>
      <c r="F177" s="53"/>
      <c r="G177" s="9"/>
      <c r="J177" s="17"/>
      <c r="K177" s="17"/>
      <c r="N177" s="10"/>
      <c r="O177" s="45"/>
    </row>
    <row r="178" spans="5:15" x14ac:dyDescent="0.2">
      <c r="E178" s="10"/>
      <c r="F178" s="53"/>
      <c r="G178" s="9"/>
      <c r="J178" s="17"/>
      <c r="K178" s="17"/>
      <c r="N178" s="10"/>
      <c r="O178" s="45"/>
    </row>
    <row r="179" spans="5:15" x14ac:dyDescent="0.2">
      <c r="E179" s="10"/>
      <c r="F179" s="53"/>
      <c r="G179" s="9"/>
      <c r="J179" s="17"/>
      <c r="K179" s="17"/>
      <c r="N179" s="10"/>
      <c r="O179" s="45"/>
    </row>
    <row r="180" spans="5:15" x14ac:dyDescent="0.2">
      <c r="E180" s="10"/>
      <c r="F180" s="53"/>
      <c r="G180" s="9"/>
      <c r="J180" s="17"/>
      <c r="K180" s="17"/>
      <c r="N180" s="10"/>
      <c r="O180" s="45"/>
    </row>
    <row r="181" spans="5:15" x14ac:dyDescent="0.2">
      <c r="E181" s="10"/>
      <c r="F181" s="53"/>
      <c r="G181" s="9"/>
      <c r="J181" s="17"/>
      <c r="K181" s="17"/>
      <c r="N181" s="10"/>
      <c r="O181" s="45"/>
    </row>
    <row r="182" spans="5:15" x14ac:dyDescent="0.2">
      <c r="E182" s="10"/>
      <c r="F182" s="53"/>
      <c r="G182" s="9"/>
      <c r="J182" s="17"/>
      <c r="K182" s="17"/>
      <c r="N182" s="10"/>
      <c r="O182" s="45"/>
    </row>
    <row r="183" spans="5:15" x14ac:dyDescent="0.2">
      <c r="E183" s="10"/>
      <c r="F183" s="53"/>
      <c r="G183" s="9"/>
      <c r="J183" s="17"/>
      <c r="K183" s="17"/>
      <c r="N183" s="10"/>
      <c r="O183" s="45"/>
    </row>
    <row r="184" spans="5:15" x14ac:dyDescent="0.2">
      <c r="E184" s="10"/>
      <c r="F184" s="53"/>
      <c r="G184" s="9"/>
      <c r="J184" s="17"/>
      <c r="K184" s="17"/>
      <c r="N184" s="10"/>
      <c r="O184" s="45"/>
    </row>
    <row r="185" spans="5:15" x14ac:dyDescent="0.2">
      <c r="E185" s="10"/>
      <c r="F185" s="53"/>
      <c r="G185" s="9"/>
      <c r="J185" s="17"/>
      <c r="K185" s="17"/>
      <c r="N185" s="10"/>
      <c r="O185" s="45"/>
    </row>
    <row r="186" spans="5:15" x14ac:dyDescent="0.2">
      <c r="E186" s="10"/>
      <c r="F186" s="53"/>
      <c r="G186" s="9"/>
      <c r="J186" s="17"/>
      <c r="K186" s="17"/>
      <c r="N186" s="10"/>
      <c r="O186" s="45"/>
    </row>
    <row r="187" spans="5:15" x14ac:dyDescent="0.2">
      <c r="E187" s="10"/>
      <c r="F187" s="53"/>
      <c r="G187" s="9"/>
      <c r="J187" s="17"/>
      <c r="K187" s="17"/>
      <c r="N187" s="10"/>
      <c r="O187" s="45"/>
    </row>
    <row r="188" spans="5:15" x14ac:dyDescent="0.2">
      <c r="E188" s="10"/>
      <c r="F188" s="53"/>
      <c r="G188" s="9"/>
      <c r="J188" s="17"/>
      <c r="K188" s="17"/>
      <c r="N188" s="10"/>
      <c r="O188" s="45"/>
    </row>
    <row r="189" spans="5:15" x14ac:dyDescent="0.2">
      <c r="E189" s="10"/>
      <c r="F189" s="53"/>
      <c r="G189" s="9"/>
      <c r="J189" s="17"/>
      <c r="K189" s="17"/>
      <c r="N189" s="10"/>
      <c r="O189" s="45"/>
    </row>
    <row r="190" spans="5:15" x14ac:dyDescent="0.2">
      <c r="E190" s="10"/>
      <c r="F190" s="53"/>
      <c r="G190" s="9"/>
      <c r="J190" s="17"/>
      <c r="K190" s="17"/>
      <c r="N190" s="10"/>
      <c r="O190" s="45"/>
    </row>
    <row r="191" spans="5:15" x14ac:dyDescent="0.2">
      <c r="E191" s="10"/>
      <c r="F191" s="53"/>
      <c r="G191" s="9"/>
      <c r="J191" s="17"/>
      <c r="K191" s="17"/>
      <c r="N191" s="10"/>
      <c r="O191" s="45"/>
    </row>
    <row r="192" spans="5:15" x14ac:dyDescent="0.2">
      <c r="E192" s="10"/>
      <c r="F192" s="53"/>
      <c r="G192" s="9"/>
      <c r="J192" s="17"/>
      <c r="K192" s="17"/>
      <c r="N192" s="10"/>
      <c r="O192" s="45"/>
    </row>
    <row r="193" spans="5:15" x14ac:dyDescent="0.2">
      <c r="E193" s="10"/>
      <c r="F193" s="53"/>
      <c r="G193" s="9"/>
      <c r="J193" s="17"/>
      <c r="K193" s="17"/>
      <c r="N193" s="10"/>
      <c r="O193" s="45"/>
    </row>
    <row r="194" spans="5:15" x14ac:dyDescent="0.2">
      <c r="E194" s="10"/>
      <c r="F194" s="53"/>
      <c r="G194" s="9"/>
      <c r="J194" s="17"/>
      <c r="K194" s="17"/>
      <c r="N194" s="10"/>
      <c r="O194" s="45"/>
    </row>
    <row r="195" spans="5:15" x14ac:dyDescent="0.2">
      <c r="E195" s="10"/>
      <c r="F195" s="53"/>
      <c r="G195" s="9"/>
      <c r="J195" s="17"/>
      <c r="K195" s="17"/>
      <c r="N195" s="10"/>
      <c r="O195" s="45"/>
    </row>
    <row r="196" spans="5:15" x14ac:dyDescent="0.2">
      <c r="E196" s="10"/>
      <c r="F196" s="53"/>
      <c r="G196" s="9"/>
      <c r="J196" s="17"/>
      <c r="K196" s="17"/>
      <c r="N196" s="10"/>
      <c r="O196" s="45"/>
    </row>
    <row r="197" spans="5:15" x14ac:dyDescent="0.2">
      <c r="E197" s="10"/>
      <c r="F197" s="53"/>
      <c r="G197" s="9"/>
      <c r="J197" s="17"/>
      <c r="K197" s="17"/>
      <c r="N197" s="10"/>
      <c r="O197" s="45"/>
    </row>
    <row r="198" spans="5:15" x14ac:dyDescent="0.2">
      <c r="E198" s="10"/>
      <c r="F198" s="53"/>
      <c r="G198" s="9"/>
      <c r="J198" s="17"/>
      <c r="K198" s="17"/>
      <c r="N198" s="10"/>
      <c r="O198" s="45"/>
    </row>
    <row r="199" spans="5:15" x14ac:dyDescent="0.2">
      <c r="E199" s="10"/>
      <c r="F199" s="53"/>
      <c r="G199" s="9"/>
      <c r="J199" s="17"/>
      <c r="K199" s="17"/>
      <c r="N199" s="10"/>
      <c r="O199" s="45"/>
    </row>
    <row r="200" spans="5:15" x14ac:dyDescent="0.2">
      <c r="E200" s="10"/>
      <c r="F200" s="53"/>
      <c r="G200" s="9"/>
      <c r="J200" s="17"/>
      <c r="K200" s="17"/>
      <c r="N200" s="10"/>
      <c r="O200" s="45"/>
    </row>
    <row r="201" spans="5:15" x14ac:dyDescent="0.2">
      <c r="E201" s="10"/>
      <c r="F201" s="53"/>
      <c r="G201" s="9"/>
      <c r="J201" s="17"/>
      <c r="K201" s="17"/>
      <c r="N201" s="10"/>
      <c r="O201" s="45"/>
    </row>
    <row r="202" spans="5:15" x14ac:dyDescent="0.2">
      <c r="E202" s="10"/>
      <c r="F202" s="53"/>
      <c r="G202" s="9"/>
      <c r="J202" s="17"/>
      <c r="K202" s="17"/>
      <c r="N202" s="10"/>
      <c r="O202" s="45"/>
    </row>
    <row r="203" spans="5:15" x14ac:dyDescent="0.2">
      <c r="E203" s="10"/>
      <c r="F203" s="53"/>
      <c r="G203" s="9"/>
      <c r="J203" s="17"/>
      <c r="K203" s="17"/>
      <c r="N203" s="10"/>
      <c r="O203" s="45"/>
    </row>
    <row r="204" spans="5:15" x14ac:dyDescent="0.2">
      <c r="E204" s="10"/>
      <c r="F204" s="53"/>
      <c r="G204" s="9"/>
      <c r="J204" s="17"/>
      <c r="K204" s="17"/>
      <c r="N204" s="10"/>
      <c r="O204" s="45"/>
    </row>
    <row r="205" spans="5:15" x14ac:dyDescent="0.2">
      <c r="E205" s="10"/>
      <c r="F205" s="53"/>
      <c r="G205" s="9"/>
      <c r="J205" s="17"/>
      <c r="K205" s="17"/>
      <c r="N205" s="10"/>
      <c r="O205" s="45"/>
    </row>
    <row r="206" spans="5:15" x14ac:dyDescent="0.2">
      <c r="E206" s="10"/>
      <c r="F206" s="53"/>
      <c r="G206" s="9"/>
      <c r="J206" s="17"/>
      <c r="K206" s="17"/>
      <c r="N206" s="10"/>
      <c r="O206" s="45"/>
    </row>
    <row r="207" spans="5:15" x14ac:dyDescent="0.2">
      <c r="E207" s="10"/>
      <c r="F207" s="53"/>
      <c r="G207" s="9"/>
      <c r="J207" s="17"/>
      <c r="K207" s="17"/>
      <c r="N207" s="10"/>
      <c r="O207" s="45"/>
    </row>
    <row r="208" spans="5:15" x14ac:dyDescent="0.2">
      <c r="E208" s="10"/>
      <c r="F208" s="53"/>
      <c r="G208" s="9"/>
      <c r="J208" s="17"/>
      <c r="K208" s="17"/>
      <c r="N208" s="10"/>
      <c r="O208" s="45"/>
    </row>
    <row r="209" spans="5:15" x14ac:dyDescent="0.2">
      <c r="E209" s="10"/>
      <c r="F209" s="53"/>
      <c r="G209" s="9"/>
      <c r="J209" s="17"/>
      <c r="K209" s="17"/>
      <c r="N209" s="10"/>
      <c r="O209" s="45"/>
    </row>
    <row r="210" spans="5:15" x14ac:dyDescent="0.2">
      <c r="E210" s="10"/>
      <c r="F210" s="53"/>
      <c r="G210" s="9"/>
      <c r="J210" s="17"/>
      <c r="K210" s="17"/>
      <c r="N210" s="10"/>
      <c r="O210" s="45"/>
    </row>
    <row r="211" spans="5:15" x14ac:dyDescent="0.2">
      <c r="E211" s="10"/>
      <c r="F211" s="53"/>
      <c r="G211" s="9"/>
      <c r="J211" s="17"/>
      <c r="K211" s="17"/>
      <c r="N211" s="10"/>
      <c r="O211" s="45"/>
    </row>
    <row r="212" spans="5:15" x14ac:dyDescent="0.2">
      <c r="E212" s="10"/>
      <c r="F212" s="53"/>
      <c r="G212" s="9"/>
      <c r="J212" s="17"/>
      <c r="K212" s="17"/>
      <c r="N212" s="10"/>
      <c r="O212" s="45"/>
    </row>
    <row r="213" spans="5:15" x14ac:dyDescent="0.2">
      <c r="E213" s="10"/>
      <c r="F213" s="53"/>
      <c r="G213" s="9"/>
      <c r="J213" s="17"/>
      <c r="K213" s="17"/>
      <c r="N213" s="10"/>
      <c r="O213" s="45"/>
    </row>
    <row r="214" spans="5:15" x14ac:dyDescent="0.2">
      <c r="E214" s="10"/>
      <c r="F214" s="53"/>
      <c r="G214" s="9"/>
      <c r="J214" s="17"/>
      <c r="K214" s="17"/>
      <c r="N214" s="10"/>
      <c r="O214" s="45"/>
    </row>
    <row r="215" spans="5:15" x14ac:dyDescent="0.2">
      <c r="E215" s="10"/>
      <c r="F215" s="53"/>
      <c r="G215" s="9"/>
      <c r="J215" s="17"/>
      <c r="K215" s="17"/>
      <c r="N215" s="10"/>
      <c r="O215" s="45"/>
    </row>
    <row r="216" spans="5:15" x14ac:dyDescent="0.2">
      <c r="E216" s="10"/>
      <c r="F216" s="53"/>
      <c r="G216" s="9"/>
      <c r="J216" s="17"/>
      <c r="K216" s="17"/>
      <c r="N216" s="10"/>
      <c r="O216" s="45"/>
    </row>
    <row r="217" spans="5:15" x14ac:dyDescent="0.2">
      <c r="E217" s="10"/>
      <c r="F217" s="53"/>
      <c r="G217" s="9"/>
      <c r="J217" s="17"/>
      <c r="K217" s="17"/>
      <c r="N217" s="10"/>
      <c r="O217" s="45"/>
    </row>
    <row r="218" spans="5:15" x14ac:dyDescent="0.2">
      <c r="E218" s="10"/>
      <c r="F218" s="53"/>
      <c r="G218" s="9"/>
      <c r="J218" s="17"/>
      <c r="K218" s="17"/>
      <c r="N218" s="10"/>
      <c r="O218" s="45"/>
    </row>
    <row r="219" spans="5:15" x14ac:dyDescent="0.2">
      <c r="E219" s="10"/>
      <c r="F219" s="53"/>
      <c r="G219" s="9"/>
      <c r="J219" s="17"/>
      <c r="K219" s="17"/>
      <c r="N219" s="10"/>
      <c r="O219" s="45"/>
    </row>
    <row r="220" spans="5:15" x14ac:dyDescent="0.2">
      <c r="E220" s="10"/>
      <c r="F220" s="53"/>
      <c r="G220" s="9"/>
      <c r="J220" s="17"/>
      <c r="K220" s="17"/>
      <c r="N220" s="10"/>
      <c r="O220" s="45"/>
    </row>
    <row r="221" spans="5:15" x14ac:dyDescent="0.2">
      <c r="E221" s="10"/>
      <c r="F221" s="53"/>
      <c r="G221" s="9"/>
      <c r="J221" s="17"/>
      <c r="K221" s="17"/>
      <c r="N221" s="10"/>
      <c r="O221" s="45"/>
    </row>
    <row r="222" spans="5:15" x14ac:dyDescent="0.2">
      <c r="E222" s="10"/>
      <c r="F222" s="53"/>
      <c r="G222" s="9"/>
      <c r="J222" s="17"/>
      <c r="K222" s="17"/>
      <c r="N222" s="10"/>
      <c r="O222" s="45"/>
    </row>
    <row r="223" spans="5:15" x14ac:dyDescent="0.2">
      <c r="E223" s="10"/>
      <c r="F223" s="53"/>
      <c r="G223" s="9"/>
      <c r="J223" s="17"/>
      <c r="K223" s="17"/>
      <c r="N223" s="10"/>
      <c r="O223" s="45"/>
    </row>
    <row r="224" spans="5:15" x14ac:dyDescent="0.2">
      <c r="E224" s="10"/>
      <c r="F224" s="53"/>
      <c r="G224" s="9"/>
      <c r="J224" s="17"/>
      <c r="K224" s="17"/>
      <c r="N224" s="10"/>
      <c r="O224" s="45"/>
    </row>
    <row r="225" spans="5:15" x14ac:dyDescent="0.2">
      <c r="E225" s="10"/>
      <c r="F225" s="53"/>
      <c r="G225" s="9"/>
      <c r="J225" s="17"/>
      <c r="K225" s="17"/>
      <c r="N225" s="10"/>
      <c r="O225" s="45"/>
    </row>
    <row r="226" spans="5:15" x14ac:dyDescent="0.2">
      <c r="E226" s="10"/>
      <c r="F226" s="53"/>
      <c r="G226" s="9"/>
      <c r="J226" s="17"/>
      <c r="K226" s="17"/>
      <c r="N226" s="10"/>
      <c r="O226" s="45"/>
    </row>
    <row r="227" spans="5:15" x14ac:dyDescent="0.2">
      <c r="E227" s="10"/>
      <c r="F227" s="53"/>
      <c r="G227" s="9"/>
      <c r="J227" s="17"/>
      <c r="K227" s="17"/>
      <c r="N227" s="10"/>
      <c r="O227" s="45"/>
    </row>
    <row r="228" spans="5:15" x14ac:dyDescent="0.2">
      <c r="E228" s="10"/>
      <c r="F228" s="53"/>
      <c r="G228" s="9"/>
      <c r="J228" s="17"/>
      <c r="K228" s="17"/>
      <c r="N228" s="10"/>
      <c r="O228" s="45"/>
    </row>
    <row r="229" spans="5:15" x14ac:dyDescent="0.2">
      <c r="E229" s="10"/>
      <c r="F229" s="53"/>
      <c r="G229" s="9"/>
      <c r="J229" s="17"/>
      <c r="K229" s="17"/>
      <c r="N229" s="10"/>
      <c r="O229" s="45"/>
    </row>
    <row r="230" spans="5:15" x14ac:dyDescent="0.2">
      <c r="E230" s="10"/>
      <c r="F230" s="53"/>
      <c r="G230" s="9"/>
      <c r="J230" s="17"/>
      <c r="K230" s="17"/>
      <c r="N230" s="10"/>
      <c r="O230" s="45"/>
    </row>
    <row r="231" spans="5:15" x14ac:dyDescent="0.2">
      <c r="E231" s="10"/>
      <c r="F231" s="53"/>
      <c r="G231" s="9"/>
      <c r="J231" s="17"/>
      <c r="K231" s="17"/>
      <c r="N231" s="10"/>
      <c r="O231" s="45"/>
    </row>
    <row r="232" spans="5:15" x14ac:dyDescent="0.2">
      <c r="E232" s="10"/>
      <c r="F232" s="53"/>
      <c r="G232" s="9"/>
      <c r="J232" s="17"/>
      <c r="K232" s="17"/>
      <c r="N232" s="10"/>
      <c r="O232" s="45"/>
    </row>
    <row r="233" spans="5:15" x14ac:dyDescent="0.2">
      <c r="E233" s="10"/>
      <c r="F233" s="53"/>
      <c r="G233" s="9"/>
      <c r="J233" s="17"/>
      <c r="K233" s="17"/>
      <c r="N233" s="10"/>
      <c r="O233" s="45"/>
    </row>
    <row r="234" spans="5:15" x14ac:dyDescent="0.2">
      <c r="E234" s="10"/>
      <c r="F234" s="53"/>
      <c r="G234" s="9"/>
      <c r="J234" s="17"/>
      <c r="K234" s="17"/>
      <c r="N234" s="10"/>
      <c r="O234" s="45"/>
    </row>
    <row r="235" spans="5:15" x14ac:dyDescent="0.2">
      <c r="E235" s="10"/>
      <c r="F235" s="53"/>
      <c r="G235" s="9"/>
      <c r="J235" s="17"/>
      <c r="K235" s="17"/>
      <c r="N235" s="10"/>
      <c r="O235" s="45"/>
    </row>
    <row r="236" spans="5:15" x14ac:dyDescent="0.2">
      <c r="E236" s="10"/>
      <c r="F236" s="53"/>
      <c r="G236" s="9"/>
      <c r="J236" s="17"/>
      <c r="K236" s="17"/>
      <c r="N236" s="10"/>
      <c r="O236" s="45"/>
    </row>
    <row r="237" spans="5:15" x14ac:dyDescent="0.2">
      <c r="E237" s="10"/>
      <c r="F237" s="53"/>
      <c r="G237" s="9"/>
      <c r="J237" s="17"/>
      <c r="K237" s="17"/>
      <c r="N237" s="10"/>
      <c r="O237" s="45"/>
    </row>
    <row r="238" spans="5:15" x14ac:dyDescent="0.2">
      <c r="E238" s="10"/>
      <c r="F238" s="53"/>
      <c r="G238" s="9"/>
      <c r="J238" s="17"/>
      <c r="K238" s="17"/>
      <c r="N238" s="10"/>
      <c r="O238" s="45"/>
    </row>
    <row r="239" spans="5:15" x14ac:dyDescent="0.2">
      <c r="E239" s="10"/>
      <c r="F239" s="53"/>
      <c r="G239" s="9"/>
      <c r="J239" s="17"/>
      <c r="K239" s="17"/>
      <c r="N239" s="10"/>
      <c r="O239" s="45"/>
    </row>
    <row r="240" spans="5:15" x14ac:dyDescent="0.2">
      <c r="E240" s="10"/>
      <c r="F240" s="53"/>
      <c r="G240" s="9"/>
      <c r="J240" s="17"/>
      <c r="K240" s="17"/>
      <c r="N240" s="10"/>
      <c r="O240" s="45"/>
    </row>
    <row r="241" spans="5:15" x14ac:dyDescent="0.2">
      <c r="E241" s="10"/>
      <c r="F241" s="53"/>
      <c r="G241" s="9"/>
      <c r="J241" s="17"/>
      <c r="K241" s="17"/>
      <c r="N241" s="10"/>
      <c r="O241" s="45"/>
    </row>
    <row r="242" spans="5:15" x14ac:dyDescent="0.2">
      <c r="E242" s="10"/>
      <c r="F242" s="53"/>
      <c r="G242" s="9"/>
      <c r="J242" s="17"/>
      <c r="K242" s="17"/>
      <c r="N242" s="10"/>
      <c r="O242" s="45"/>
    </row>
    <row r="243" spans="5:15" x14ac:dyDescent="0.2">
      <c r="E243" s="10"/>
      <c r="F243" s="53"/>
      <c r="G243" s="9"/>
      <c r="J243" s="17"/>
      <c r="K243" s="17"/>
      <c r="N243" s="10"/>
      <c r="O243" s="45"/>
    </row>
    <row r="244" spans="5:15" x14ac:dyDescent="0.2">
      <c r="E244" s="10"/>
      <c r="F244" s="53"/>
      <c r="G244" s="9"/>
      <c r="J244" s="17"/>
      <c r="K244" s="17"/>
      <c r="N244" s="10"/>
      <c r="O244" s="45"/>
    </row>
    <row r="245" spans="5:15" x14ac:dyDescent="0.2">
      <c r="E245" s="10"/>
      <c r="F245" s="53"/>
      <c r="G245" s="9"/>
      <c r="J245" s="17"/>
      <c r="K245" s="17"/>
      <c r="N245" s="10"/>
      <c r="O245" s="45"/>
    </row>
    <row r="246" spans="5:15" x14ac:dyDescent="0.2">
      <c r="E246" s="10"/>
      <c r="F246" s="53"/>
      <c r="G246" s="9"/>
      <c r="J246" s="17"/>
      <c r="K246" s="17"/>
      <c r="N246" s="10"/>
      <c r="O246" s="45"/>
    </row>
    <row r="247" spans="5:15" x14ac:dyDescent="0.2">
      <c r="E247" s="10"/>
      <c r="F247" s="53"/>
      <c r="G247" s="9"/>
      <c r="J247" s="17"/>
      <c r="K247" s="17"/>
      <c r="N247" s="10"/>
      <c r="O247" s="45"/>
    </row>
    <row r="248" spans="5:15" x14ac:dyDescent="0.2">
      <c r="E248" s="10"/>
      <c r="F248" s="53"/>
      <c r="G248" s="9"/>
      <c r="J248" s="17"/>
      <c r="K248" s="17"/>
      <c r="N248" s="10"/>
      <c r="O248" s="45"/>
    </row>
    <row r="249" spans="5:15" x14ac:dyDescent="0.2">
      <c r="E249" s="10"/>
      <c r="F249" s="53"/>
      <c r="G249" s="9"/>
      <c r="J249" s="17"/>
      <c r="K249" s="17"/>
      <c r="N249" s="10"/>
      <c r="O249" s="45"/>
    </row>
    <row r="250" spans="5:15" x14ac:dyDescent="0.2">
      <c r="E250" s="10"/>
      <c r="F250" s="53"/>
      <c r="G250" s="9"/>
      <c r="J250" s="17"/>
      <c r="K250" s="17"/>
      <c r="N250" s="10"/>
      <c r="O250" s="45"/>
    </row>
    <row r="251" spans="5:15" x14ac:dyDescent="0.2">
      <c r="E251" s="10"/>
      <c r="F251" s="53"/>
      <c r="G251" s="9"/>
      <c r="J251" s="17"/>
      <c r="K251" s="17"/>
      <c r="N251" s="10"/>
      <c r="O251" s="45"/>
    </row>
    <row r="252" spans="5:15" x14ac:dyDescent="0.2">
      <c r="E252" s="10"/>
      <c r="F252" s="53"/>
      <c r="G252" s="9"/>
      <c r="J252" s="17"/>
      <c r="K252" s="17"/>
      <c r="N252" s="10"/>
      <c r="O252" s="45"/>
    </row>
    <row r="253" spans="5:15" x14ac:dyDescent="0.2">
      <c r="E253" s="10"/>
      <c r="F253" s="53"/>
      <c r="G253" s="9"/>
      <c r="J253" s="17"/>
      <c r="K253" s="17"/>
      <c r="N253" s="10"/>
      <c r="O253" s="45"/>
    </row>
    <row r="254" spans="5:15" x14ac:dyDescent="0.2">
      <c r="E254" s="10"/>
      <c r="F254" s="53"/>
      <c r="G254" s="9"/>
      <c r="J254" s="17"/>
      <c r="K254" s="17"/>
      <c r="N254" s="10"/>
      <c r="O254" s="45"/>
    </row>
    <row r="255" spans="5:15" x14ac:dyDescent="0.2">
      <c r="E255" s="10"/>
      <c r="F255" s="53"/>
      <c r="G255" s="9"/>
      <c r="J255" s="17"/>
      <c r="K255" s="17"/>
      <c r="N255" s="10"/>
      <c r="O255" s="45"/>
    </row>
    <row r="256" spans="5:15" x14ac:dyDescent="0.2">
      <c r="E256" s="10"/>
      <c r="F256" s="53"/>
      <c r="G256" s="9"/>
      <c r="J256" s="17"/>
      <c r="K256" s="17"/>
      <c r="N256" s="10"/>
      <c r="O256" s="45"/>
    </row>
    <row r="257" spans="5:15" x14ac:dyDescent="0.2">
      <c r="E257" s="10"/>
      <c r="F257" s="53"/>
      <c r="G257" s="9"/>
      <c r="J257" s="17"/>
      <c r="K257" s="17"/>
      <c r="N257" s="10"/>
      <c r="O257" s="45"/>
    </row>
    <row r="258" spans="5:15" x14ac:dyDescent="0.2">
      <c r="E258" s="10"/>
      <c r="F258" s="53"/>
      <c r="G258" s="9"/>
      <c r="J258" s="17"/>
      <c r="K258" s="17"/>
      <c r="N258" s="10"/>
      <c r="O258" s="45"/>
    </row>
    <row r="259" spans="5:15" x14ac:dyDescent="0.2">
      <c r="E259" s="10"/>
      <c r="F259" s="53"/>
      <c r="G259" s="9"/>
      <c r="J259" s="17"/>
      <c r="K259" s="17"/>
      <c r="N259" s="10"/>
      <c r="O259" s="45"/>
    </row>
    <row r="260" spans="5:15" x14ac:dyDescent="0.2">
      <c r="E260" s="10"/>
      <c r="F260" s="53"/>
      <c r="G260" s="9"/>
      <c r="J260" s="17"/>
      <c r="K260" s="17"/>
      <c r="N260" s="10"/>
      <c r="O260" s="45"/>
    </row>
    <row r="261" spans="5:15" x14ac:dyDescent="0.2">
      <c r="E261" s="10"/>
      <c r="F261" s="53"/>
      <c r="G261" s="9"/>
      <c r="J261" s="17"/>
      <c r="K261" s="17"/>
      <c r="N261" s="10"/>
      <c r="O261" s="45"/>
    </row>
    <row r="262" spans="5:15" x14ac:dyDescent="0.2">
      <c r="E262" s="10"/>
      <c r="F262" s="53"/>
      <c r="G262" s="9"/>
      <c r="J262" s="17"/>
      <c r="K262" s="17"/>
      <c r="N262" s="10"/>
      <c r="O262" s="45"/>
    </row>
    <row r="263" spans="5:15" x14ac:dyDescent="0.2">
      <c r="E263" s="10"/>
      <c r="F263" s="53"/>
      <c r="G263" s="9"/>
      <c r="J263" s="17"/>
      <c r="K263" s="17"/>
      <c r="N263" s="10"/>
      <c r="O263" s="45"/>
    </row>
    <row r="264" spans="5:15" x14ac:dyDescent="0.2">
      <c r="E264" s="10"/>
      <c r="F264" s="53"/>
      <c r="G264" s="9"/>
      <c r="J264" s="17"/>
      <c r="K264" s="17"/>
      <c r="N264" s="10"/>
      <c r="O264" s="45"/>
    </row>
    <row r="265" spans="5:15" x14ac:dyDescent="0.2">
      <c r="E265" s="10"/>
      <c r="F265" s="53"/>
      <c r="G265" s="9"/>
      <c r="J265" s="17"/>
      <c r="K265" s="17"/>
      <c r="N265" s="10"/>
      <c r="O265" s="45"/>
    </row>
    <row r="266" spans="5:15" x14ac:dyDescent="0.2">
      <c r="E266" s="10"/>
      <c r="F266" s="53"/>
      <c r="G266" s="9"/>
      <c r="J266" s="17"/>
      <c r="K266" s="17"/>
      <c r="N266" s="10"/>
      <c r="O266" s="45"/>
    </row>
    <row r="267" spans="5:15" x14ac:dyDescent="0.2">
      <c r="E267" s="10"/>
      <c r="F267" s="53"/>
      <c r="G267" s="9"/>
      <c r="J267" s="17"/>
      <c r="K267" s="17"/>
      <c r="N267" s="10"/>
      <c r="O267" s="45"/>
    </row>
    <row r="268" spans="5:15" x14ac:dyDescent="0.2">
      <c r="E268" s="10"/>
      <c r="F268" s="53"/>
      <c r="G268" s="9"/>
      <c r="J268" s="17"/>
      <c r="K268" s="17"/>
      <c r="N268" s="10"/>
      <c r="O268" s="45"/>
    </row>
    <row r="269" spans="5:15" x14ac:dyDescent="0.2">
      <c r="E269" s="10"/>
      <c r="F269" s="53"/>
      <c r="G269" s="9"/>
      <c r="J269" s="17"/>
      <c r="K269" s="17"/>
      <c r="N269" s="10"/>
      <c r="O269" s="45"/>
    </row>
    <row r="270" spans="5:15" x14ac:dyDescent="0.2">
      <c r="E270" s="10"/>
      <c r="F270" s="53"/>
      <c r="G270" s="9"/>
      <c r="J270" s="17"/>
      <c r="K270" s="17"/>
      <c r="N270" s="10"/>
      <c r="O270" s="45"/>
    </row>
    <row r="271" spans="5:15" x14ac:dyDescent="0.2">
      <c r="E271" s="10"/>
      <c r="F271" s="53"/>
      <c r="G271" s="9"/>
      <c r="J271" s="17"/>
      <c r="K271" s="17"/>
      <c r="N271" s="10"/>
      <c r="O271" s="45"/>
    </row>
    <row r="272" spans="5:15" x14ac:dyDescent="0.2">
      <c r="E272" s="10"/>
      <c r="F272" s="53"/>
      <c r="G272" s="9"/>
      <c r="J272" s="17"/>
      <c r="K272" s="17"/>
      <c r="N272" s="10"/>
      <c r="O272" s="45"/>
    </row>
    <row r="273" spans="5:15" x14ac:dyDescent="0.2">
      <c r="E273" s="10"/>
      <c r="F273" s="53"/>
      <c r="G273" s="9"/>
      <c r="J273" s="17"/>
      <c r="K273" s="17"/>
      <c r="N273" s="10"/>
      <c r="O273" s="45"/>
    </row>
    <row r="274" spans="5:15" x14ac:dyDescent="0.2">
      <c r="E274" s="10"/>
      <c r="F274" s="53"/>
      <c r="G274" s="9"/>
      <c r="J274" s="17"/>
      <c r="K274" s="17"/>
      <c r="N274" s="10"/>
      <c r="O274" s="45"/>
    </row>
    <row r="275" spans="5:15" x14ac:dyDescent="0.2">
      <c r="E275" s="10"/>
      <c r="F275" s="53"/>
      <c r="G275" s="9"/>
      <c r="J275" s="17"/>
      <c r="K275" s="17"/>
      <c r="N275" s="10"/>
      <c r="O275" s="45"/>
    </row>
    <row r="276" spans="5:15" x14ac:dyDescent="0.2">
      <c r="E276" s="10"/>
      <c r="F276" s="53"/>
      <c r="G276" s="9"/>
      <c r="J276" s="17"/>
      <c r="K276" s="17"/>
      <c r="N276" s="10"/>
      <c r="O276" s="45"/>
    </row>
    <row r="277" spans="5:15" x14ac:dyDescent="0.2">
      <c r="E277" s="10"/>
      <c r="F277" s="53"/>
      <c r="G277" s="9"/>
      <c r="J277" s="17"/>
      <c r="K277" s="17"/>
      <c r="N277" s="10"/>
      <c r="O277" s="45"/>
    </row>
    <row r="278" spans="5:15" x14ac:dyDescent="0.2">
      <c r="E278" s="10"/>
      <c r="F278" s="53"/>
      <c r="G278" s="9"/>
      <c r="J278" s="17"/>
      <c r="K278" s="17"/>
      <c r="N278" s="10"/>
      <c r="O278" s="45"/>
    </row>
    <row r="279" spans="5:15" x14ac:dyDescent="0.2">
      <c r="E279" s="10"/>
      <c r="F279" s="53"/>
      <c r="G279" s="9"/>
      <c r="J279" s="17"/>
      <c r="K279" s="17"/>
      <c r="N279" s="10"/>
      <c r="O279" s="45"/>
    </row>
    <row r="280" spans="5:15" x14ac:dyDescent="0.2">
      <c r="E280" s="10"/>
      <c r="F280" s="53"/>
      <c r="G280" s="9"/>
      <c r="J280" s="17"/>
      <c r="K280" s="17"/>
      <c r="N280" s="10"/>
      <c r="O280" s="45"/>
    </row>
    <row r="281" spans="5:15" x14ac:dyDescent="0.2">
      <c r="E281" s="10"/>
      <c r="F281" s="53"/>
      <c r="G281" s="9"/>
      <c r="J281" s="17"/>
      <c r="K281" s="17"/>
      <c r="N281" s="10"/>
      <c r="O281" s="45"/>
    </row>
    <row r="282" spans="5:15" x14ac:dyDescent="0.2">
      <c r="E282" s="10"/>
      <c r="F282" s="53"/>
      <c r="G282" s="9"/>
      <c r="J282" s="17"/>
      <c r="K282" s="17"/>
      <c r="N282" s="10"/>
      <c r="O282" s="45"/>
    </row>
    <row r="283" spans="5:15" x14ac:dyDescent="0.2">
      <c r="E283" s="10"/>
      <c r="F283" s="53"/>
      <c r="G283" s="9"/>
      <c r="J283" s="17"/>
      <c r="K283" s="17"/>
      <c r="N283" s="10"/>
      <c r="O283" s="45"/>
    </row>
    <row r="284" spans="5:15" x14ac:dyDescent="0.2">
      <c r="E284" s="10"/>
      <c r="F284" s="53"/>
      <c r="G284" s="9"/>
      <c r="J284" s="17"/>
      <c r="K284" s="17"/>
      <c r="N284" s="10"/>
      <c r="O284" s="45"/>
    </row>
    <row r="285" spans="5:15" x14ac:dyDescent="0.2">
      <c r="E285" s="10"/>
      <c r="F285" s="53"/>
      <c r="G285" s="9"/>
      <c r="J285" s="17"/>
      <c r="K285" s="17"/>
      <c r="N285" s="10"/>
      <c r="O285" s="45"/>
    </row>
    <row r="286" spans="5:15" x14ac:dyDescent="0.2">
      <c r="E286" s="10"/>
      <c r="F286" s="53"/>
      <c r="G286" s="9"/>
      <c r="J286" s="17"/>
      <c r="K286" s="17"/>
      <c r="N286" s="10"/>
      <c r="O286" s="45"/>
    </row>
    <row r="287" spans="5:15" x14ac:dyDescent="0.2">
      <c r="E287" s="10"/>
      <c r="F287" s="53"/>
      <c r="G287" s="9"/>
      <c r="J287" s="17"/>
      <c r="K287" s="17"/>
      <c r="N287" s="10"/>
      <c r="O287" s="45"/>
    </row>
    <row r="288" spans="5:15" x14ac:dyDescent="0.2">
      <c r="E288" s="10"/>
      <c r="F288" s="53"/>
      <c r="G288" s="9"/>
      <c r="J288" s="17"/>
      <c r="K288" s="17"/>
      <c r="N288" s="10"/>
      <c r="O288" s="45"/>
    </row>
    <row r="289" spans="5:15" x14ac:dyDescent="0.2">
      <c r="E289" s="10"/>
      <c r="F289" s="53"/>
      <c r="G289" s="9"/>
      <c r="J289" s="17"/>
      <c r="K289" s="17"/>
      <c r="N289" s="10"/>
      <c r="O289" s="45"/>
    </row>
    <row r="290" spans="5:15" x14ac:dyDescent="0.2">
      <c r="E290" s="10"/>
      <c r="F290" s="53"/>
      <c r="G290" s="9"/>
      <c r="J290" s="17"/>
      <c r="K290" s="17"/>
      <c r="N290" s="10"/>
      <c r="O290" s="45"/>
    </row>
    <row r="291" spans="5:15" x14ac:dyDescent="0.2">
      <c r="E291" s="10"/>
      <c r="F291" s="53"/>
      <c r="G291" s="9"/>
      <c r="J291" s="17"/>
      <c r="K291" s="17"/>
      <c r="N291" s="10"/>
      <c r="O291" s="45"/>
    </row>
    <row r="292" spans="5:15" x14ac:dyDescent="0.2">
      <c r="E292" s="10"/>
      <c r="F292" s="53"/>
      <c r="G292" s="9"/>
      <c r="J292" s="17"/>
      <c r="K292" s="17"/>
      <c r="N292" s="10"/>
      <c r="O292" s="45"/>
    </row>
    <row r="293" spans="5:15" x14ac:dyDescent="0.2">
      <c r="E293" s="10"/>
      <c r="F293" s="53"/>
      <c r="G293" s="9"/>
      <c r="J293" s="17"/>
      <c r="K293" s="17"/>
      <c r="N293" s="10"/>
      <c r="O293" s="45"/>
    </row>
    <row r="294" spans="5:15" x14ac:dyDescent="0.2">
      <c r="E294" s="10"/>
      <c r="F294" s="53"/>
      <c r="G294" s="9"/>
      <c r="J294" s="17"/>
      <c r="K294" s="17"/>
      <c r="N294" s="10"/>
      <c r="O294" s="45"/>
    </row>
    <row r="295" spans="5:15" x14ac:dyDescent="0.2">
      <c r="E295" s="10"/>
      <c r="F295" s="53"/>
      <c r="G295" s="9"/>
      <c r="J295" s="17"/>
      <c r="K295" s="17"/>
      <c r="N295" s="10"/>
      <c r="O295" s="45"/>
    </row>
    <row r="296" spans="5:15" x14ac:dyDescent="0.2">
      <c r="E296" s="10"/>
      <c r="F296" s="53"/>
      <c r="G296" s="9"/>
      <c r="J296" s="17"/>
      <c r="K296" s="17"/>
      <c r="N296" s="10"/>
      <c r="O296" s="45"/>
    </row>
    <row r="297" spans="5:15" x14ac:dyDescent="0.2">
      <c r="E297" s="10"/>
      <c r="F297" s="53"/>
      <c r="G297" s="9"/>
      <c r="J297" s="17"/>
      <c r="K297" s="17"/>
      <c r="N297" s="10"/>
      <c r="O297" s="45"/>
    </row>
    <row r="298" spans="5:15" x14ac:dyDescent="0.2">
      <c r="E298" s="10"/>
      <c r="F298" s="53"/>
      <c r="G298" s="9"/>
      <c r="J298" s="17"/>
      <c r="K298" s="17"/>
      <c r="N298" s="10"/>
      <c r="O298" s="45"/>
    </row>
    <row r="299" spans="5:15" x14ac:dyDescent="0.2">
      <c r="E299" s="10"/>
      <c r="F299" s="53"/>
      <c r="G299" s="9"/>
      <c r="J299" s="17"/>
      <c r="K299" s="17"/>
      <c r="N299" s="10"/>
      <c r="O299" s="45"/>
    </row>
    <row r="300" spans="5:15" x14ac:dyDescent="0.2">
      <c r="E300" s="10"/>
      <c r="F300" s="53"/>
      <c r="G300" s="9"/>
      <c r="J300" s="17"/>
      <c r="K300" s="17"/>
      <c r="N300" s="10"/>
      <c r="O300" s="45"/>
    </row>
    <row r="301" spans="5:15" x14ac:dyDescent="0.2">
      <c r="E301" s="10"/>
      <c r="F301" s="53"/>
      <c r="G301" s="9"/>
      <c r="J301" s="17"/>
      <c r="K301" s="17"/>
      <c r="N301" s="10"/>
      <c r="O301" s="45"/>
    </row>
    <row r="302" spans="5:15" x14ac:dyDescent="0.2">
      <c r="E302" s="10"/>
      <c r="F302" s="53"/>
      <c r="G302" s="9"/>
      <c r="J302" s="17"/>
      <c r="K302" s="17"/>
      <c r="N302" s="10"/>
      <c r="O302" s="45"/>
    </row>
    <row r="303" spans="5:15" x14ac:dyDescent="0.2">
      <c r="E303" s="10"/>
      <c r="F303" s="53"/>
      <c r="G303" s="9"/>
      <c r="J303" s="17"/>
      <c r="K303" s="17"/>
      <c r="N303" s="10"/>
      <c r="O303" s="45"/>
    </row>
    <row r="304" spans="5:15" x14ac:dyDescent="0.2">
      <c r="E304" s="10"/>
      <c r="F304" s="53"/>
      <c r="G304" s="9"/>
      <c r="J304" s="17"/>
      <c r="K304" s="17"/>
      <c r="N304" s="10"/>
      <c r="O304" s="45"/>
    </row>
    <row r="305" spans="5:15" x14ac:dyDescent="0.2">
      <c r="E305" s="10"/>
      <c r="F305" s="53"/>
      <c r="G305" s="9"/>
      <c r="J305" s="17"/>
      <c r="K305" s="17"/>
      <c r="N305" s="10"/>
      <c r="O305" s="45"/>
    </row>
    <row r="306" spans="5:15" x14ac:dyDescent="0.2">
      <c r="E306" s="10"/>
      <c r="F306" s="53"/>
      <c r="G306" s="9"/>
      <c r="J306" s="17"/>
      <c r="K306" s="17"/>
      <c r="N306" s="10"/>
      <c r="O306" s="45"/>
    </row>
    <row r="307" spans="5:15" x14ac:dyDescent="0.2">
      <c r="E307" s="10"/>
      <c r="F307" s="53"/>
      <c r="G307" s="9"/>
      <c r="J307" s="17"/>
      <c r="K307" s="17"/>
      <c r="N307" s="10"/>
      <c r="O307" s="45"/>
    </row>
    <row r="308" spans="5:15" x14ac:dyDescent="0.2">
      <c r="E308" s="10"/>
      <c r="F308" s="53"/>
      <c r="G308" s="9"/>
      <c r="J308" s="17"/>
      <c r="K308" s="17"/>
      <c r="N308" s="10"/>
      <c r="O308" s="45"/>
    </row>
    <row r="309" spans="5:15" x14ac:dyDescent="0.2">
      <c r="E309" s="10"/>
      <c r="F309" s="53"/>
      <c r="G309" s="9"/>
      <c r="J309" s="17"/>
      <c r="K309" s="17"/>
      <c r="N309" s="10"/>
      <c r="O309" s="45"/>
    </row>
    <row r="310" spans="5:15" x14ac:dyDescent="0.2">
      <c r="E310" s="10"/>
      <c r="F310" s="53"/>
      <c r="G310" s="9"/>
      <c r="J310" s="17"/>
      <c r="K310" s="17"/>
      <c r="N310" s="10"/>
      <c r="O310" s="45"/>
    </row>
    <row r="311" spans="5:15" x14ac:dyDescent="0.2">
      <c r="E311" s="10"/>
      <c r="F311" s="53"/>
      <c r="G311" s="9"/>
      <c r="J311" s="17"/>
      <c r="K311" s="17"/>
      <c r="N311" s="10"/>
      <c r="O311" s="45"/>
    </row>
    <row r="312" spans="5:15" x14ac:dyDescent="0.2">
      <c r="E312" s="10"/>
      <c r="F312" s="53"/>
      <c r="G312" s="9"/>
      <c r="J312" s="17"/>
      <c r="K312" s="17"/>
      <c r="N312" s="10"/>
      <c r="O312" s="45"/>
    </row>
    <row r="313" spans="5:15" x14ac:dyDescent="0.2">
      <c r="E313" s="10"/>
      <c r="F313" s="53"/>
      <c r="G313" s="9"/>
      <c r="J313" s="17"/>
      <c r="K313" s="17"/>
      <c r="N313" s="10"/>
      <c r="O313" s="45"/>
    </row>
    <row r="314" spans="5:15" x14ac:dyDescent="0.2">
      <c r="E314" s="10"/>
      <c r="F314" s="53"/>
      <c r="G314" s="9"/>
      <c r="J314" s="17"/>
      <c r="K314" s="17"/>
      <c r="N314" s="10"/>
      <c r="O314" s="45"/>
    </row>
    <row r="315" spans="5:15" x14ac:dyDescent="0.2">
      <c r="E315" s="10"/>
      <c r="F315" s="53"/>
      <c r="G315" s="9"/>
      <c r="J315" s="17"/>
      <c r="K315" s="17"/>
      <c r="N315" s="10"/>
      <c r="O315" s="45"/>
    </row>
    <row r="316" spans="5:15" x14ac:dyDescent="0.2">
      <c r="E316" s="10"/>
      <c r="F316" s="53"/>
      <c r="G316" s="9"/>
      <c r="J316" s="17"/>
      <c r="K316" s="17"/>
      <c r="N316" s="10"/>
      <c r="O316" s="45"/>
    </row>
    <row r="317" spans="5:15" x14ac:dyDescent="0.2">
      <c r="E317" s="10"/>
      <c r="F317" s="53"/>
      <c r="G317" s="9"/>
      <c r="J317" s="17"/>
      <c r="K317" s="17"/>
      <c r="N317" s="10"/>
      <c r="O317" s="45"/>
    </row>
    <row r="318" spans="5:15" x14ac:dyDescent="0.2">
      <c r="E318" s="10"/>
      <c r="F318" s="53"/>
      <c r="G318" s="9"/>
      <c r="J318" s="17"/>
      <c r="K318" s="17"/>
      <c r="N318" s="10"/>
      <c r="O318" s="45"/>
    </row>
    <row r="319" spans="5:15" x14ac:dyDescent="0.2">
      <c r="E319" s="10"/>
      <c r="F319" s="53"/>
      <c r="G319" s="9"/>
      <c r="J319" s="17"/>
      <c r="K319" s="17"/>
      <c r="N319" s="10"/>
      <c r="O319" s="45"/>
    </row>
    <row r="320" spans="5:15" x14ac:dyDescent="0.2">
      <c r="E320" s="10"/>
      <c r="F320" s="53"/>
      <c r="G320" s="9"/>
      <c r="J320" s="17"/>
      <c r="K320" s="17"/>
      <c r="N320" s="10"/>
      <c r="O320" s="45"/>
    </row>
    <row r="321" spans="5:15" x14ac:dyDescent="0.2">
      <c r="E321" s="10"/>
      <c r="F321" s="53"/>
      <c r="G321" s="9"/>
      <c r="J321" s="17"/>
      <c r="K321" s="17"/>
      <c r="N321" s="10"/>
      <c r="O321" s="45"/>
    </row>
    <row r="322" spans="5:15" x14ac:dyDescent="0.2">
      <c r="E322" s="10"/>
      <c r="F322" s="53"/>
      <c r="G322" s="9"/>
      <c r="J322" s="17"/>
      <c r="K322" s="17"/>
      <c r="N322" s="10"/>
      <c r="O322" s="45"/>
    </row>
    <row r="323" spans="5:15" x14ac:dyDescent="0.2">
      <c r="E323" s="10"/>
      <c r="F323" s="53"/>
      <c r="G323" s="9"/>
      <c r="J323" s="17"/>
      <c r="K323" s="17"/>
      <c r="N323" s="10"/>
      <c r="O323" s="45"/>
    </row>
    <row r="324" spans="5:15" x14ac:dyDescent="0.2">
      <c r="E324" s="10"/>
      <c r="F324" s="53"/>
      <c r="G324" s="9"/>
      <c r="J324" s="17"/>
      <c r="K324" s="17"/>
      <c r="N324" s="10"/>
      <c r="O324" s="45"/>
    </row>
    <row r="325" spans="5:15" x14ac:dyDescent="0.2">
      <c r="E325" s="10"/>
      <c r="F325" s="53"/>
      <c r="G325" s="9"/>
      <c r="J325" s="17"/>
      <c r="K325" s="17"/>
      <c r="N325" s="10"/>
      <c r="O325" s="45"/>
    </row>
    <row r="326" spans="5:15" x14ac:dyDescent="0.2">
      <c r="E326" s="10"/>
      <c r="F326" s="53"/>
      <c r="G326" s="9"/>
      <c r="J326" s="17"/>
      <c r="K326" s="17"/>
      <c r="N326" s="10"/>
      <c r="O326" s="45"/>
    </row>
    <row r="327" spans="5:15" x14ac:dyDescent="0.2">
      <c r="E327" s="10"/>
      <c r="F327" s="53"/>
      <c r="G327" s="9"/>
      <c r="J327" s="17"/>
      <c r="K327" s="17"/>
      <c r="N327" s="10"/>
      <c r="O327" s="45"/>
    </row>
    <row r="328" spans="5:15" x14ac:dyDescent="0.2">
      <c r="E328" s="10"/>
      <c r="F328" s="53"/>
      <c r="G328" s="9"/>
      <c r="J328" s="17"/>
      <c r="K328" s="17"/>
      <c r="N328" s="10"/>
      <c r="O328" s="45"/>
    </row>
    <row r="329" spans="5:15" x14ac:dyDescent="0.2">
      <c r="E329" s="10"/>
      <c r="F329" s="53"/>
      <c r="G329" s="9"/>
      <c r="J329" s="17"/>
      <c r="K329" s="17"/>
      <c r="N329" s="10"/>
      <c r="O329" s="45"/>
    </row>
    <row r="330" spans="5:15" x14ac:dyDescent="0.2">
      <c r="E330" s="10"/>
      <c r="F330" s="53"/>
      <c r="G330" s="9"/>
      <c r="J330" s="17"/>
      <c r="K330" s="17"/>
      <c r="N330" s="10"/>
      <c r="O330" s="45"/>
    </row>
    <row r="331" spans="5:15" x14ac:dyDescent="0.2">
      <c r="E331" s="10"/>
      <c r="F331" s="53"/>
      <c r="G331" s="9"/>
      <c r="J331" s="17"/>
      <c r="K331" s="17"/>
      <c r="N331" s="10"/>
      <c r="O331" s="45"/>
    </row>
    <row r="332" spans="5:15" x14ac:dyDescent="0.2">
      <c r="E332" s="10"/>
      <c r="F332" s="53"/>
      <c r="G332" s="9"/>
      <c r="J332" s="17"/>
      <c r="K332" s="17"/>
      <c r="N332" s="10"/>
      <c r="O332" s="45"/>
    </row>
    <row r="333" spans="5:15" x14ac:dyDescent="0.2">
      <c r="E333" s="10"/>
      <c r="F333" s="53"/>
      <c r="G333" s="9"/>
      <c r="J333" s="17"/>
      <c r="K333" s="17"/>
      <c r="N333" s="10"/>
      <c r="O333" s="45"/>
    </row>
    <row r="334" spans="5:15" x14ac:dyDescent="0.2">
      <c r="E334" s="10"/>
      <c r="F334" s="53"/>
      <c r="G334" s="9"/>
      <c r="J334" s="17"/>
      <c r="K334" s="17"/>
      <c r="N334" s="10"/>
      <c r="O334" s="45"/>
    </row>
    <row r="335" spans="5:15" x14ac:dyDescent="0.2">
      <c r="E335" s="10"/>
      <c r="F335" s="53"/>
      <c r="G335" s="9"/>
      <c r="J335" s="17"/>
      <c r="K335" s="17"/>
      <c r="N335" s="10"/>
      <c r="O335" s="45"/>
    </row>
    <row r="336" spans="5:15" x14ac:dyDescent="0.2">
      <c r="E336" s="10"/>
      <c r="F336" s="53"/>
      <c r="G336" s="9"/>
      <c r="J336" s="17"/>
      <c r="K336" s="17"/>
      <c r="N336" s="10"/>
      <c r="O336" s="45"/>
    </row>
    <row r="337" spans="5:15" x14ac:dyDescent="0.2">
      <c r="E337" s="10"/>
      <c r="F337" s="53"/>
      <c r="G337" s="9"/>
      <c r="J337" s="17"/>
      <c r="K337" s="17"/>
      <c r="N337" s="10"/>
      <c r="O337" s="45"/>
    </row>
    <row r="338" spans="5:15" x14ac:dyDescent="0.2">
      <c r="E338" s="10"/>
      <c r="F338" s="53"/>
      <c r="G338" s="9"/>
      <c r="J338" s="17"/>
      <c r="K338" s="17"/>
      <c r="N338" s="10"/>
      <c r="O338" s="45"/>
    </row>
    <row r="339" spans="5:15" x14ac:dyDescent="0.2">
      <c r="E339" s="10"/>
      <c r="F339" s="53"/>
      <c r="G339" s="9"/>
      <c r="J339" s="17"/>
      <c r="K339" s="17"/>
      <c r="N339" s="10"/>
      <c r="O339" s="45"/>
    </row>
    <row r="340" spans="5:15" x14ac:dyDescent="0.2">
      <c r="E340" s="10"/>
      <c r="F340" s="53"/>
      <c r="G340" s="9"/>
      <c r="J340" s="17"/>
      <c r="K340" s="17"/>
      <c r="N340" s="10"/>
      <c r="O340" s="45"/>
    </row>
    <row r="341" spans="5:15" x14ac:dyDescent="0.2">
      <c r="E341" s="10"/>
      <c r="F341" s="53"/>
      <c r="G341" s="9"/>
      <c r="J341" s="17"/>
      <c r="K341" s="17"/>
      <c r="N341" s="10"/>
      <c r="O341" s="45"/>
    </row>
    <row r="342" spans="5:15" x14ac:dyDescent="0.2">
      <c r="E342" s="10"/>
      <c r="F342" s="53"/>
      <c r="G342" s="9"/>
      <c r="J342" s="17"/>
      <c r="K342" s="17"/>
      <c r="N342" s="10"/>
      <c r="O342" s="45"/>
    </row>
    <row r="343" spans="5:15" x14ac:dyDescent="0.2">
      <c r="E343" s="10"/>
      <c r="F343" s="53"/>
      <c r="G343" s="9"/>
      <c r="J343" s="17"/>
      <c r="K343" s="17"/>
      <c r="N343" s="10"/>
      <c r="O343" s="45"/>
    </row>
    <row r="344" spans="5:15" x14ac:dyDescent="0.2">
      <c r="E344" s="10"/>
      <c r="F344" s="53"/>
      <c r="G344" s="9"/>
      <c r="J344" s="17"/>
      <c r="K344" s="17"/>
      <c r="N344" s="10"/>
      <c r="O344" s="45"/>
    </row>
    <row r="345" spans="5:15" x14ac:dyDescent="0.2">
      <c r="E345" s="10"/>
      <c r="F345" s="53"/>
      <c r="G345" s="9"/>
      <c r="J345" s="17"/>
      <c r="K345" s="17"/>
      <c r="N345" s="10"/>
      <c r="O345" s="45"/>
    </row>
    <row r="346" spans="5:15" x14ac:dyDescent="0.2">
      <c r="E346" s="10"/>
      <c r="F346" s="53"/>
      <c r="G346" s="9"/>
      <c r="J346" s="17"/>
      <c r="K346" s="17"/>
      <c r="N346" s="10"/>
      <c r="O346" s="45"/>
    </row>
    <row r="347" spans="5:15" x14ac:dyDescent="0.2">
      <c r="E347" s="10"/>
      <c r="F347" s="53"/>
      <c r="G347" s="9"/>
      <c r="J347" s="17"/>
      <c r="K347" s="17"/>
      <c r="N347" s="10"/>
      <c r="O347" s="45"/>
    </row>
    <row r="348" spans="5:15" x14ac:dyDescent="0.2">
      <c r="E348" s="10"/>
      <c r="F348" s="53"/>
      <c r="G348" s="9"/>
      <c r="J348" s="17"/>
      <c r="K348" s="17"/>
      <c r="N348" s="10"/>
      <c r="O348" s="45"/>
    </row>
    <row r="349" spans="5:15" x14ac:dyDescent="0.2">
      <c r="E349" s="10"/>
      <c r="F349" s="53"/>
      <c r="G349" s="9"/>
      <c r="J349" s="17"/>
      <c r="K349" s="17"/>
      <c r="N349" s="10"/>
      <c r="O349" s="45"/>
    </row>
    <row r="350" spans="5:15" x14ac:dyDescent="0.2">
      <c r="E350" s="10"/>
      <c r="F350" s="53"/>
      <c r="G350" s="9"/>
      <c r="J350" s="17"/>
      <c r="K350" s="17"/>
      <c r="N350" s="10"/>
      <c r="O350" s="45"/>
    </row>
    <row r="351" spans="5:15" x14ac:dyDescent="0.2">
      <c r="E351" s="10"/>
      <c r="F351" s="53"/>
      <c r="G351" s="9"/>
      <c r="J351" s="17"/>
      <c r="K351" s="17"/>
      <c r="N351" s="10"/>
      <c r="O351" s="45"/>
    </row>
    <row r="352" spans="5:15" x14ac:dyDescent="0.2">
      <c r="E352" s="10"/>
      <c r="F352" s="53"/>
      <c r="G352" s="9"/>
      <c r="J352" s="17"/>
      <c r="K352" s="17"/>
      <c r="N352" s="10"/>
      <c r="O352" s="45"/>
    </row>
    <row r="353" spans="5:15" x14ac:dyDescent="0.2">
      <c r="E353" s="10"/>
      <c r="F353" s="53"/>
      <c r="G353" s="9"/>
      <c r="J353" s="17"/>
      <c r="K353" s="17"/>
      <c r="N353" s="10"/>
      <c r="O353" s="45"/>
    </row>
    <row r="354" spans="5:15" x14ac:dyDescent="0.2">
      <c r="E354" s="10"/>
      <c r="F354" s="53"/>
      <c r="G354" s="9"/>
      <c r="J354" s="17"/>
      <c r="K354" s="17"/>
      <c r="N354" s="10"/>
      <c r="O354" s="45"/>
    </row>
    <row r="355" spans="5:15" x14ac:dyDescent="0.2">
      <c r="E355" s="10"/>
      <c r="F355" s="53"/>
      <c r="G355" s="9"/>
      <c r="J355" s="17"/>
      <c r="K355" s="17"/>
      <c r="N355" s="10"/>
      <c r="O355" s="45"/>
    </row>
    <row r="356" spans="5:15" x14ac:dyDescent="0.2">
      <c r="E356" s="10"/>
      <c r="F356" s="53"/>
      <c r="G356" s="9"/>
      <c r="J356" s="17"/>
      <c r="K356" s="17"/>
      <c r="N356" s="10"/>
      <c r="O356" s="45"/>
    </row>
    <row r="357" spans="5:15" x14ac:dyDescent="0.2">
      <c r="E357" s="10"/>
      <c r="F357" s="53"/>
      <c r="G357" s="9"/>
      <c r="J357" s="17"/>
      <c r="K357" s="17"/>
      <c r="N357" s="10"/>
      <c r="O357" s="45"/>
    </row>
    <row r="358" spans="5:15" x14ac:dyDescent="0.2">
      <c r="E358" s="10"/>
      <c r="F358" s="53"/>
      <c r="G358" s="9"/>
      <c r="J358" s="17"/>
      <c r="K358" s="17"/>
      <c r="N358" s="10"/>
      <c r="O358" s="45"/>
    </row>
    <row r="359" spans="5:15" x14ac:dyDescent="0.2">
      <c r="E359" s="10"/>
      <c r="F359" s="53"/>
      <c r="G359" s="9"/>
      <c r="J359" s="17"/>
      <c r="K359" s="17"/>
      <c r="N359" s="10"/>
      <c r="O359" s="45"/>
    </row>
    <row r="360" spans="5:15" x14ac:dyDescent="0.2">
      <c r="E360" s="10"/>
      <c r="F360" s="53"/>
      <c r="G360" s="9"/>
      <c r="J360" s="17"/>
      <c r="K360" s="17"/>
      <c r="N360" s="10"/>
      <c r="O360" s="45"/>
    </row>
    <row r="361" spans="5:15" x14ac:dyDescent="0.2">
      <c r="E361" s="10"/>
      <c r="F361" s="53"/>
      <c r="G361" s="9"/>
      <c r="J361" s="17"/>
      <c r="K361" s="17"/>
      <c r="N361" s="10"/>
      <c r="O361" s="45"/>
    </row>
    <row r="362" spans="5:15" x14ac:dyDescent="0.2">
      <c r="E362" s="10"/>
      <c r="F362" s="53"/>
      <c r="G362" s="9"/>
      <c r="J362" s="17"/>
      <c r="K362" s="17"/>
      <c r="N362" s="10"/>
      <c r="O362" s="45"/>
    </row>
    <row r="363" spans="5:15" x14ac:dyDescent="0.2">
      <c r="E363" s="10"/>
      <c r="F363" s="53"/>
      <c r="G363" s="9"/>
      <c r="J363" s="17"/>
      <c r="K363" s="17"/>
      <c r="N363" s="10"/>
      <c r="O363" s="45"/>
    </row>
    <row r="364" spans="5:15" x14ac:dyDescent="0.2">
      <c r="E364" s="10"/>
      <c r="F364" s="53"/>
      <c r="G364" s="9"/>
      <c r="J364" s="17"/>
      <c r="K364" s="17"/>
      <c r="N364" s="10"/>
      <c r="O364" s="45"/>
    </row>
    <row r="365" spans="5:15" x14ac:dyDescent="0.2">
      <c r="E365" s="10"/>
      <c r="F365" s="53"/>
      <c r="G365" s="9"/>
      <c r="J365" s="17"/>
      <c r="K365" s="17"/>
      <c r="N365" s="10"/>
      <c r="O365" s="45"/>
    </row>
    <row r="366" spans="5:15" x14ac:dyDescent="0.2">
      <c r="E366" s="10"/>
      <c r="F366" s="53"/>
      <c r="G366" s="9"/>
      <c r="J366" s="17"/>
      <c r="K366" s="17"/>
      <c r="N366" s="10"/>
      <c r="O366" s="45"/>
    </row>
    <row r="367" spans="5:15" x14ac:dyDescent="0.2">
      <c r="E367" s="10"/>
      <c r="F367" s="53"/>
      <c r="G367" s="9"/>
      <c r="J367" s="17"/>
      <c r="K367" s="17"/>
      <c r="N367" s="10"/>
      <c r="O367" s="45"/>
    </row>
    <row r="368" spans="5:15" x14ac:dyDescent="0.2">
      <c r="E368" s="10"/>
      <c r="F368" s="53"/>
      <c r="G368" s="9"/>
      <c r="J368" s="17"/>
      <c r="K368" s="17"/>
      <c r="N368" s="10"/>
      <c r="O368" s="45"/>
    </row>
    <row r="369" spans="5:15" x14ac:dyDescent="0.2">
      <c r="E369" s="10"/>
      <c r="F369" s="53"/>
      <c r="G369" s="9"/>
      <c r="J369" s="17"/>
      <c r="K369" s="17"/>
      <c r="N369" s="10"/>
      <c r="O369" s="45"/>
    </row>
    <row r="370" spans="5:15" x14ac:dyDescent="0.2">
      <c r="E370" s="10"/>
      <c r="F370" s="53"/>
      <c r="G370" s="9"/>
      <c r="J370" s="17"/>
      <c r="K370" s="17"/>
      <c r="N370" s="10"/>
      <c r="O370" s="45"/>
    </row>
    <row r="371" spans="5:15" x14ac:dyDescent="0.2">
      <c r="E371" s="10"/>
      <c r="F371" s="53"/>
      <c r="G371" s="9"/>
      <c r="J371" s="17"/>
      <c r="K371" s="17"/>
      <c r="N371" s="10"/>
      <c r="O371" s="45"/>
    </row>
    <row r="372" spans="5:15" x14ac:dyDescent="0.2">
      <c r="E372" s="10"/>
      <c r="F372" s="53"/>
      <c r="G372" s="9"/>
      <c r="J372" s="17"/>
      <c r="K372" s="17"/>
      <c r="N372" s="10"/>
      <c r="O372" s="45"/>
    </row>
    <row r="373" spans="5:15" x14ac:dyDescent="0.2">
      <c r="E373" s="10"/>
      <c r="F373" s="53"/>
      <c r="G373" s="9"/>
      <c r="J373" s="17"/>
      <c r="K373" s="17"/>
      <c r="N373" s="10"/>
      <c r="O373" s="45"/>
    </row>
    <row r="374" spans="5:15" x14ac:dyDescent="0.2">
      <c r="E374" s="10"/>
      <c r="F374" s="53"/>
      <c r="G374" s="9"/>
      <c r="J374" s="17"/>
      <c r="K374" s="17"/>
      <c r="N374" s="10"/>
      <c r="O374" s="45"/>
    </row>
    <row r="375" spans="5:15" x14ac:dyDescent="0.2">
      <c r="E375" s="10"/>
      <c r="F375" s="53"/>
      <c r="G375" s="9"/>
      <c r="J375" s="17"/>
      <c r="K375" s="17"/>
      <c r="N375" s="10"/>
      <c r="O375" s="45"/>
    </row>
    <row r="376" spans="5:15" x14ac:dyDescent="0.2">
      <c r="E376" s="10"/>
      <c r="F376" s="53"/>
      <c r="G376" s="9"/>
      <c r="J376" s="17"/>
      <c r="K376" s="17"/>
      <c r="N376" s="10"/>
      <c r="O376" s="45"/>
    </row>
    <row r="377" spans="5:15" x14ac:dyDescent="0.2">
      <c r="E377" s="10"/>
      <c r="F377" s="53"/>
      <c r="G377" s="9"/>
      <c r="J377" s="17"/>
      <c r="K377" s="17"/>
      <c r="N377" s="10"/>
      <c r="O377" s="45"/>
    </row>
    <row r="378" spans="5:15" x14ac:dyDescent="0.2">
      <c r="E378" s="10"/>
      <c r="F378" s="53"/>
      <c r="G378" s="9"/>
      <c r="J378" s="17"/>
      <c r="K378" s="17"/>
      <c r="N378" s="10"/>
      <c r="O378" s="45"/>
    </row>
    <row r="379" spans="5:15" x14ac:dyDescent="0.2">
      <c r="E379" s="10"/>
      <c r="F379" s="53"/>
      <c r="G379" s="9"/>
      <c r="J379" s="17"/>
      <c r="K379" s="17"/>
      <c r="N379" s="10"/>
      <c r="O379" s="45"/>
    </row>
    <row r="380" spans="5:15" x14ac:dyDescent="0.2">
      <c r="E380" s="10"/>
      <c r="F380" s="53"/>
      <c r="G380" s="9"/>
      <c r="J380" s="17"/>
      <c r="K380" s="17"/>
      <c r="N380" s="10"/>
      <c r="O380" s="45"/>
    </row>
    <row r="381" spans="5:15" x14ac:dyDescent="0.2">
      <c r="E381" s="10"/>
      <c r="F381" s="53"/>
      <c r="G381" s="9"/>
      <c r="J381" s="17"/>
      <c r="K381" s="17"/>
      <c r="N381" s="10"/>
      <c r="O381" s="45"/>
    </row>
    <row r="382" spans="5:15" x14ac:dyDescent="0.2">
      <c r="E382" s="10"/>
      <c r="F382" s="53"/>
      <c r="G382" s="9"/>
      <c r="J382" s="17"/>
      <c r="K382" s="17"/>
      <c r="N382" s="10"/>
      <c r="O382" s="45"/>
    </row>
    <row r="383" spans="5:15" x14ac:dyDescent="0.2">
      <c r="E383" s="10"/>
      <c r="F383" s="53"/>
      <c r="G383" s="9"/>
      <c r="J383" s="17"/>
      <c r="K383" s="17"/>
      <c r="N383" s="10"/>
      <c r="O383" s="45"/>
    </row>
    <row r="384" spans="5:15" x14ac:dyDescent="0.2">
      <c r="E384" s="10"/>
      <c r="F384" s="53"/>
      <c r="G384" s="9"/>
      <c r="J384" s="17"/>
      <c r="K384" s="17"/>
      <c r="N384" s="10"/>
      <c r="O384" s="45"/>
    </row>
    <row r="385" spans="5:15" x14ac:dyDescent="0.2">
      <c r="E385" s="10"/>
      <c r="F385" s="53"/>
      <c r="G385" s="9"/>
      <c r="J385" s="17"/>
      <c r="K385" s="17"/>
      <c r="N385" s="10"/>
      <c r="O385" s="45"/>
    </row>
    <row r="386" spans="5:15" x14ac:dyDescent="0.2">
      <c r="E386" s="10"/>
      <c r="F386" s="53"/>
      <c r="G386" s="9"/>
      <c r="J386" s="17"/>
      <c r="K386" s="17"/>
      <c r="N386" s="10"/>
      <c r="O386" s="45"/>
    </row>
    <row r="387" spans="5:15" x14ac:dyDescent="0.2">
      <c r="E387" s="10"/>
      <c r="F387" s="53"/>
      <c r="G387" s="9"/>
      <c r="J387" s="17"/>
      <c r="K387" s="17"/>
      <c r="N387" s="10"/>
      <c r="O387" s="45"/>
    </row>
    <row r="388" spans="5:15" x14ac:dyDescent="0.2">
      <c r="E388" s="10"/>
      <c r="F388" s="53"/>
      <c r="G388" s="9"/>
      <c r="J388" s="17"/>
      <c r="K388" s="17"/>
      <c r="N388" s="10"/>
      <c r="O388" s="45"/>
    </row>
    <row r="389" spans="5:15" x14ac:dyDescent="0.2">
      <c r="E389" s="10"/>
      <c r="F389" s="53"/>
      <c r="G389" s="9"/>
      <c r="J389" s="17"/>
      <c r="K389" s="17"/>
      <c r="N389" s="10"/>
      <c r="O389" s="45"/>
    </row>
    <row r="390" spans="5:15" x14ac:dyDescent="0.2">
      <c r="E390" s="10"/>
      <c r="F390" s="53"/>
      <c r="G390" s="9"/>
      <c r="J390" s="17"/>
      <c r="K390" s="17"/>
      <c r="N390" s="10"/>
      <c r="O390" s="45"/>
    </row>
    <row r="391" spans="5:15" x14ac:dyDescent="0.2">
      <c r="E391" s="10"/>
      <c r="F391" s="53"/>
      <c r="G391" s="9"/>
      <c r="J391" s="17"/>
      <c r="K391" s="17"/>
      <c r="N391" s="10"/>
      <c r="O391" s="45"/>
    </row>
    <row r="392" spans="5:15" x14ac:dyDescent="0.2">
      <c r="E392" s="10"/>
      <c r="F392" s="53"/>
      <c r="G392" s="9"/>
      <c r="J392" s="17"/>
      <c r="K392" s="17"/>
      <c r="N392" s="10"/>
      <c r="O392" s="45"/>
    </row>
    <row r="393" spans="5:15" x14ac:dyDescent="0.2">
      <c r="E393" s="10"/>
      <c r="F393" s="53"/>
      <c r="G393" s="9"/>
      <c r="J393" s="17"/>
      <c r="K393" s="17"/>
      <c r="N393" s="10"/>
      <c r="O393" s="45"/>
    </row>
    <row r="394" spans="5:15" x14ac:dyDescent="0.2">
      <c r="E394" s="10"/>
      <c r="F394" s="53"/>
      <c r="G394" s="9"/>
      <c r="J394" s="17"/>
      <c r="K394" s="17"/>
      <c r="N394" s="10"/>
      <c r="O394" s="45"/>
    </row>
    <row r="395" spans="5:15" x14ac:dyDescent="0.2">
      <c r="E395" s="10"/>
      <c r="F395" s="53"/>
      <c r="G395" s="9"/>
      <c r="J395" s="17"/>
      <c r="K395" s="17"/>
      <c r="N395" s="10"/>
      <c r="O395" s="45"/>
    </row>
    <row r="396" spans="5:15" x14ac:dyDescent="0.2">
      <c r="E396" s="10"/>
      <c r="F396" s="53"/>
      <c r="G396" s="9"/>
      <c r="J396" s="17"/>
      <c r="K396" s="17"/>
      <c r="N396" s="10"/>
      <c r="O396" s="45"/>
    </row>
    <row r="397" spans="5:15" x14ac:dyDescent="0.2">
      <c r="E397" s="10"/>
      <c r="F397" s="53"/>
      <c r="G397" s="9"/>
      <c r="J397" s="17"/>
      <c r="K397" s="17"/>
      <c r="N397" s="10"/>
      <c r="O397" s="45"/>
    </row>
    <row r="398" spans="5:15" x14ac:dyDescent="0.2">
      <c r="E398" s="10"/>
      <c r="F398" s="53"/>
      <c r="G398" s="9"/>
      <c r="J398" s="17"/>
      <c r="K398" s="17"/>
      <c r="N398" s="10"/>
      <c r="O398" s="45"/>
    </row>
    <row r="399" spans="5:15" x14ac:dyDescent="0.2">
      <c r="E399" s="10"/>
      <c r="F399" s="53"/>
      <c r="G399" s="9"/>
      <c r="J399" s="17"/>
      <c r="K399" s="17"/>
      <c r="N399" s="10"/>
      <c r="O399" s="45"/>
    </row>
    <row r="400" spans="5:15" x14ac:dyDescent="0.2">
      <c r="E400" s="10"/>
      <c r="F400" s="53"/>
      <c r="G400" s="9"/>
      <c r="J400" s="17"/>
      <c r="K400" s="17"/>
      <c r="N400" s="10"/>
      <c r="O400" s="45"/>
    </row>
    <row r="401" spans="5:15" x14ac:dyDescent="0.2">
      <c r="E401" s="10"/>
      <c r="F401" s="53"/>
      <c r="G401" s="9"/>
      <c r="J401" s="17"/>
      <c r="K401" s="17"/>
      <c r="N401" s="10"/>
      <c r="O401" s="45"/>
    </row>
    <row r="402" spans="5:15" x14ac:dyDescent="0.2">
      <c r="E402" s="10"/>
      <c r="F402" s="53"/>
      <c r="G402" s="9"/>
      <c r="J402" s="17"/>
      <c r="K402" s="17"/>
      <c r="N402" s="10"/>
      <c r="O402" s="45"/>
    </row>
    <row r="403" spans="5:15" x14ac:dyDescent="0.2">
      <c r="E403" s="10"/>
      <c r="F403" s="53"/>
      <c r="G403" s="9"/>
      <c r="J403" s="17"/>
      <c r="K403" s="17"/>
      <c r="N403" s="10"/>
      <c r="O403" s="45"/>
    </row>
    <row r="404" spans="5:15" x14ac:dyDescent="0.2">
      <c r="E404" s="10"/>
      <c r="F404" s="53"/>
      <c r="G404" s="9"/>
      <c r="J404" s="17"/>
      <c r="K404" s="17"/>
      <c r="N404" s="10"/>
      <c r="O404" s="45"/>
    </row>
    <row r="405" spans="5:15" x14ac:dyDescent="0.2">
      <c r="E405" s="10"/>
      <c r="F405" s="53"/>
      <c r="G405" s="9"/>
      <c r="J405" s="17"/>
      <c r="K405" s="17"/>
      <c r="N405" s="10"/>
      <c r="O405" s="45"/>
    </row>
    <row r="406" spans="5:15" x14ac:dyDescent="0.2">
      <c r="E406" s="10"/>
      <c r="F406" s="53"/>
      <c r="G406" s="9"/>
      <c r="J406" s="17"/>
      <c r="K406" s="17"/>
      <c r="N406" s="10"/>
      <c r="O406" s="45"/>
    </row>
    <row r="407" spans="5:15" x14ac:dyDescent="0.2">
      <c r="E407" s="10"/>
      <c r="F407" s="53"/>
      <c r="G407" s="9"/>
      <c r="J407" s="17"/>
      <c r="K407" s="17"/>
      <c r="N407" s="10"/>
      <c r="O407" s="45"/>
    </row>
    <row r="408" spans="5:15" x14ac:dyDescent="0.2">
      <c r="E408" s="10"/>
      <c r="F408" s="53"/>
      <c r="G408" s="9"/>
      <c r="J408" s="17"/>
      <c r="K408" s="17"/>
      <c r="N408" s="10"/>
      <c r="O408" s="45"/>
    </row>
    <row r="409" spans="5:15" x14ac:dyDescent="0.2">
      <c r="E409" s="10"/>
      <c r="F409" s="53"/>
      <c r="G409" s="9"/>
      <c r="J409" s="17"/>
      <c r="K409" s="17"/>
      <c r="N409" s="10"/>
      <c r="O409" s="45"/>
    </row>
    <row r="410" spans="5:15" x14ac:dyDescent="0.2">
      <c r="E410" s="10"/>
      <c r="F410" s="53"/>
      <c r="G410" s="9"/>
      <c r="J410" s="17"/>
      <c r="K410" s="17"/>
      <c r="N410" s="10"/>
      <c r="O410" s="45"/>
    </row>
    <row r="411" spans="5:15" x14ac:dyDescent="0.2">
      <c r="E411" s="10"/>
      <c r="F411" s="53"/>
      <c r="G411" s="9"/>
      <c r="J411" s="17"/>
      <c r="K411" s="17"/>
      <c r="N411" s="10"/>
      <c r="O411" s="45"/>
    </row>
    <row r="412" spans="5:15" x14ac:dyDescent="0.2">
      <c r="E412" s="10"/>
      <c r="F412" s="53"/>
      <c r="G412" s="9"/>
      <c r="J412" s="17"/>
      <c r="K412" s="17"/>
      <c r="N412" s="10"/>
      <c r="O412" s="45"/>
    </row>
    <row r="413" spans="5:15" x14ac:dyDescent="0.2">
      <c r="E413" s="10"/>
      <c r="F413" s="53"/>
      <c r="G413" s="9"/>
      <c r="J413" s="17"/>
      <c r="K413" s="17"/>
      <c r="N413" s="10"/>
      <c r="O413" s="45"/>
    </row>
    <row r="414" spans="5:15" x14ac:dyDescent="0.2">
      <c r="E414" s="10"/>
      <c r="F414" s="53"/>
      <c r="G414" s="9"/>
      <c r="J414" s="17"/>
      <c r="K414" s="17"/>
      <c r="N414" s="10"/>
      <c r="O414" s="45"/>
    </row>
    <row r="415" spans="5:15" x14ac:dyDescent="0.2">
      <c r="E415" s="10"/>
      <c r="F415" s="53"/>
      <c r="G415" s="9"/>
      <c r="J415" s="17"/>
      <c r="K415" s="17"/>
      <c r="N415" s="10"/>
      <c r="O415" s="45"/>
    </row>
    <row r="416" spans="5:15" x14ac:dyDescent="0.2">
      <c r="E416" s="10"/>
      <c r="F416" s="53"/>
      <c r="G416" s="9"/>
      <c r="J416" s="17"/>
      <c r="K416" s="17"/>
      <c r="N416" s="10"/>
      <c r="O416" s="45"/>
    </row>
    <row r="417" spans="5:15" x14ac:dyDescent="0.2">
      <c r="E417" s="10"/>
      <c r="F417" s="53"/>
      <c r="G417" s="9"/>
      <c r="J417" s="17"/>
      <c r="K417" s="17"/>
      <c r="N417" s="10"/>
      <c r="O417" s="45"/>
    </row>
    <row r="418" spans="5:15" x14ac:dyDescent="0.2">
      <c r="E418" s="10"/>
      <c r="F418" s="53"/>
      <c r="G418" s="9"/>
      <c r="J418" s="17"/>
      <c r="K418" s="17"/>
      <c r="N418" s="10"/>
      <c r="O418" s="45"/>
    </row>
    <row r="419" spans="5:15" x14ac:dyDescent="0.2">
      <c r="E419" s="10"/>
      <c r="F419" s="53"/>
      <c r="G419" s="9"/>
      <c r="J419" s="17"/>
      <c r="K419" s="17"/>
      <c r="N419" s="10"/>
      <c r="O419" s="45"/>
    </row>
    <row r="420" spans="5:15" x14ac:dyDescent="0.2">
      <c r="E420" s="10"/>
      <c r="F420" s="53"/>
      <c r="G420" s="9"/>
      <c r="J420" s="17"/>
      <c r="K420" s="17"/>
      <c r="N420" s="10"/>
      <c r="O420" s="45"/>
    </row>
    <row r="421" spans="5:15" x14ac:dyDescent="0.2">
      <c r="E421" s="10"/>
      <c r="F421" s="53"/>
      <c r="G421" s="9"/>
      <c r="J421" s="17"/>
      <c r="K421" s="17"/>
      <c r="N421" s="10"/>
      <c r="O421" s="45"/>
    </row>
    <row r="422" spans="5:15" x14ac:dyDescent="0.2">
      <c r="E422" s="10"/>
      <c r="F422" s="53"/>
      <c r="G422" s="9"/>
      <c r="J422" s="17"/>
      <c r="K422" s="17"/>
      <c r="N422" s="10"/>
      <c r="O422" s="45"/>
    </row>
    <row r="423" spans="5:15" x14ac:dyDescent="0.2">
      <c r="E423" s="10"/>
      <c r="F423" s="53"/>
      <c r="G423" s="9"/>
      <c r="J423" s="17"/>
      <c r="K423" s="17"/>
      <c r="N423" s="10"/>
      <c r="O423" s="45"/>
    </row>
    <row r="424" spans="5:15" x14ac:dyDescent="0.2">
      <c r="E424" s="10"/>
      <c r="F424" s="53"/>
      <c r="G424" s="9"/>
      <c r="J424" s="17"/>
      <c r="K424" s="17"/>
      <c r="N424" s="10"/>
      <c r="O424" s="45"/>
    </row>
    <row r="425" spans="5:15" x14ac:dyDescent="0.2">
      <c r="E425" s="10"/>
      <c r="F425" s="53"/>
      <c r="G425" s="9"/>
      <c r="J425" s="17"/>
      <c r="K425" s="17"/>
      <c r="N425" s="10"/>
      <c r="O425" s="45"/>
    </row>
    <row r="426" spans="5:15" x14ac:dyDescent="0.2">
      <c r="E426" s="10"/>
      <c r="F426" s="53"/>
      <c r="G426" s="9"/>
      <c r="J426" s="17"/>
      <c r="K426" s="17"/>
      <c r="N426" s="10"/>
      <c r="O426" s="45"/>
    </row>
    <row r="427" spans="5:15" x14ac:dyDescent="0.2">
      <c r="E427" s="10"/>
      <c r="F427" s="53"/>
      <c r="G427" s="9"/>
      <c r="J427" s="17"/>
      <c r="K427" s="17"/>
      <c r="N427" s="10"/>
      <c r="O427" s="45"/>
    </row>
    <row r="428" spans="5:15" x14ac:dyDescent="0.2">
      <c r="E428" s="10"/>
      <c r="F428" s="53"/>
      <c r="G428" s="9"/>
      <c r="J428" s="17"/>
      <c r="K428" s="17"/>
      <c r="N428" s="10"/>
      <c r="O428" s="45"/>
    </row>
    <row r="429" spans="5:15" x14ac:dyDescent="0.2">
      <c r="E429" s="10"/>
      <c r="F429" s="53"/>
      <c r="G429" s="9"/>
      <c r="J429" s="17"/>
      <c r="K429" s="17"/>
      <c r="N429" s="10"/>
      <c r="O429" s="45"/>
    </row>
    <row r="430" spans="5:15" x14ac:dyDescent="0.2">
      <c r="E430" s="10"/>
      <c r="F430" s="53"/>
      <c r="G430" s="9"/>
      <c r="J430" s="17"/>
      <c r="K430" s="17"/>
      <c r="N430" s="10"/>
      <c r="O430" s="45"/>
    </row>
    <row r="431" spans="5:15" x14ac:dyDescent="0.2">
      <c r="E431" s="10"/>
      <c r="F431" s="53"/>
      <c r="G431" s="9"/>
      <c r="J431" s="17"/>
      <c r="K431" s="17"/>
      <c r="N431" s="10"/>
      <c r="O431" s="45"/>
    </row>
    <row r="432" spans="5:15" x14ac:dyDescent="0.2">
      <c r="E432" s="10"/>
      <c r="F432" s="53"/>
      <c r="G432" s="9"/>
      <c r="J432" s="17"/>
      <c r="K432" s="17"/>
      <c r="N432" s="10"/>
      <c r="O432" s="45"/>
    </row>
    <row r="433" spans="5:15" x14ac:dyDescent="0.2">
      <c r="E433" s="10"/>
      <c r="F433" s="53"/>
      <c r="G433" s="9"/>
      <c r="J433" s="17"/>
      <c r="K433" s="17"/>
      <c r="N433" s="10"/>
      <c r="O433" s="45"/>
    </row>
    <row r="434" spans="5:15" x14ac:dyDescent="0.2">
      <c r="E434" s="10"/>
      <c r="F434" s="53"/>
      <c r="G434" s="9"/>
      <c r="J434" s="17"/>
      <c r="K434" s="17"/>
      <c r="N434" s="10"/>
      <c r="O434" s="45"/>
    </row>
    <row r="435" spans="5:15" x14ac:dyDescent="0.2">
      <c r="E435" s="10"/>
      <c r="F435" s="53"/>
      <c r="G435" s="9"/>
      <c r="J435" s="17"/>
      <c r="K435" s="17"/>
      <c r="N435" s="10"/>
      <c r="O435" s="45"/>
    </row>
    <row r="436" spans="5:15" x14ac:dyDescent="0.2">
      <c r="E436" s="10"/>
      <c r="F436" s="53"/>
      <c r="G436" s="9"/>
      <c r="J436" s="17"/>
      <c r="K436" s="17"/>
      <c r="N436" s="10"/>
      <c r="O436" s="45"/>
    </row>
    <row r="437" spans="5:15" x14ac:dyDescent="0.2">
      <c r="E437" s="10"/>
      <c r="F437" s="53"/>
      <c r="G437" s="9"/>
      <c r="J437" s="17"/>
      <c r="K437" s="17"/>
      <c r="N437" s="10"/>
      <c r="O437" s="45"/>
    </row>
    <row r="438" spans="5:15" x14ac:dyDescent="0.2">
      <c r="E438" s="10"/>
      <c r="F438" s="53"/>
      <c r="G438" s="9"/>
      <c r="J438" s="17"/>
      <c r="K438" s="17"/>
      <c r="N438" s="10"/>
      <c r="O438" s="45"/>
    </row>
    <row r="439" spans="5:15" x14ac:dyDescent="0.2">
      <c r="E439" s="10"/>
      <c r="F439" s="53"/>
      <c r="G439" s="9"/>
      <c r="J439" s="17"/>
      <c r="K439" s="17"/>
      <c r="N439" s="10"/>
      <c r="O439" s="45"/>
    </row>
    <row r="440" spans="5:15" x14ac:dyDescent="0.2">
      <c r="E440" s="10"/>
      <c r="F440" s="53"/>
      <c r="G440" s="9"/>
      <c r="J440" s="17"/>
      <c r="K440" s="17"/>
      <c r="N440" s="10"/>
      <c r="O440" s="45"/>
    </row>
    <row r="441" spans="5:15" x14ac:dyDescent="0.2">
      <c r="E441" s="10"/>
      <c r="F441" s="53"/>
      <c r="G441" s="9"/>
      <c r="J441" s="17"/>
      <c r="K441" s="17"/>
      <c r="N441" s="10"/>
      <c r="O441" s="45"/>
    </row>
    <row r="442" spans="5:15" x14ac:dyDescent="0.2">
      <c r="E442" s="10"/>
      <c r="F442" s="53"/>
      <c r="G442" s="9"/>
      <c r="J442" s="17"/>
      <c r="K442" s="17"/>
      <c r="N442" s="10"/>
      <c r="O442" s="45"/>
    </row>
    <row r="443" spans="5:15" x14ac:dyDescent="0.2">
      <c r="E443" s="10"/>
      <c r="F443" s="53"/>
      <c r="G443" s="9"/>
      <c r="J443" s="17"/>
      <c r="K443" s="17"/>
      <c r="N443" s="10"/>
      <c r="O443" s="45"/>
    </row>
    <row r="444" spans="5:15" x14ac:dyDescent="0.2">
      <c r="E444" s="10"/>
      <c r="F444" s="53"/>
      <c r="G444" s="9"/>
      <c r="J444" s="17"/>
      <c r="K444" s="17"/>
      <c r="N444" s="10"/>
      <c r="O444" s="45"/>
    </row>
    <row r="445" spans="5:15" x14ac:dyDescent="0.2">
      <c r="E445" s="10"/>
      <c r="F445" s="53"/>
      <c r="G445" s="9"/>
      <c r="J445" s="17"/>
      <c r="K445" s="17"/>
      <c r="N445" s="10"/>
      <c r="O445" s="45"/>
    </row>
    <row r="446" spans="5:15" x14ac:dyDescent="0.2">
      <c r="E446" s="10"/>
      <c r="F446" s="53"/>
      <c r="G446" s="9"/>
      <c r="J446" s="17"/>
      <c r="K446" s="17"/>
      <c r="N446" s="10"/>
      <c r="O446" s="45"/>
    </row>
    <row r="447" spans="5:15" x14ac:dyDescent="0.2">
      <c r="E447" s="10"/>
      <c r="F447" s="53"/>
      <c r="G447" s="9"/>
      <c r="J447" s="17"/>
      <c r="K447" s="17"/>
      <c r="N447" s="10"/>
      <c r="O447" s="45"/>
    </row>
    <row r="448" spans="5:15" x14ac:dyDescent="0.2">
      <c r="E448" s="10"/>
      <c r="F448" s="53"/>
      <c r="G448" s="9"/>
      <c r="J448" s="17"/>
      <c r="K448" s="17"/>
      <c r="N448" s="10"/>
      <c r="O448" s="45"/>
    </row>
    <row r="449" spans="5:15" x14ac:dyDescent="0.2">
      <c r="E449" s="10"/>
      <c r="F449" s="53"/>
      <c r="G449" s="9"/>
      <c r="J449" s="17"/>
      <c r="K449" s="17"/>
      <c r="N449" s="10"/>
      <c r="O449" s="45"/>
    </row>
    <row r="450" spans="5:15" x14ac:dyDescent="0.2">
      <c r="E450" s="10"/>
      <c r="F450" s="53"/>
      <c r="G450" s="9"/>
      <c r="J450" s="17"/>
      <c r="K450" s="17"/>
      <c r="N450" s="10"/>
      <c r="O450" s="45"/>
    </row>
    <row r="451" spans="5:15" x14ac:dyDescent="0.2">
      <c r="E451" s="10"/>
      <c r="F451" s="53"/>
      <c r="G451" s="9"/>
      <c r="J451" s="17"/>
      <c r="K451" s="17"/>
      <c r="N451" s="10"/>
      <c r="O451" s="45"/>
    </row>
    <row r="452" spans="5:15" x14ac:dyDescent="0.2">
      <c r="E452" s="10"/>
      <c r="F452" s="53"/>
      <c r="G452" s="9"/>
      <c r="J452" s="17"/>
      <c r="K452" s="17"/>
      <c r="N452" s="10"/>
      <c r="O452" s="45"/>
    </row>
    <row r="453" spans="5:15" x14ac:dyDescent="0.2">
      <c r="E453" s="10"/>
      <c r="F453" s="53"/>
      <c r="G453" s="9"/>
      <c r="J453" s="17"/>
      <c r="K453" s="17"/>
      <c r="N453" s="10"/>
      <c r="O453" s="45"/>
    </row>
    <row r="454" spans="5:15" x14ac:dyDescent="0.2">
      <c r="E454" s="10"/>
      <c r="F454" s="53"/>
      <c r="G454" s="9"/>
      <c r="J454" s="17"/>
      <c r="K454" s="17"/>
      <c r="N454" s="10"/>
      <c r="O454" s="45"/>
    </row>
    <row r="455" spans="5:15" x14ac:dyDescent="0.2">
      <c r="E455" s="10"/>
      <c r="F455" s="53"/>
      <c r="G455" s="9"/>
      <c r="J455" s="17"/>
      <c r="K455" s="17"/>
      <c r="N455" s="10"/>
      <c r="O455" s="45"/>
    </row>
    <row r="456" spans="5:15" x14ac:dyDescent="0.2">
      <c r="E456" s="10"/>
      <c r="F456" s="53"/>
      <c r="G456" s="9"/>
      <c r="J456" s="17"/>
      <c r="K456" s="17"/>
      <c r="N456" s="10"/>
      <c r="O456" s="45"/>
    </row>
    <row r="457" spans="5:15" x14ac:dyDescent="0.2">
      <c r="E457" s="10"/>
      <c r="F457" s="53"/>
      <c r="G457" s="9"/>
      <c r="J457" s="17"/>
      <c r="K457" s="17"/>
      <c r="N457" s="10"/>
      <c r="O457" s="45"/>
    </row>
    <row r="458" spans="5:15" x14ac:dyDescent="0.2">
      <c r="E458" s="10"/>
      <c r="F458" s="53"/>
      <c r="G458" s="9"/>
      <c r="J458" s="17"/>
      <c r="K458" s="17"/>
      <c r="N458" s="10"/>
      <c r="O458" s="45"/>
    </row>
    <row r="459" spans="5:15" x14ac:dyDescent="0.2">
      <c r="E459" s="10"/>
      <c r="F459" s="53"/>
      <c r="G459" s="9"/>
      <c r="J459" s="17"/>
      <c r="K459" s="17"/>
      <c r="N459" s="10"/>
      <c r="O459" s="45"/>
    </row>
    <row r="460" spans="5:15" x14ac:dyDescent="0.2">
      <c r="E460" s="10"/>
      <c r="F460" s="53"/>
      <c r="G460" s="9"/>
      <c r="J460" s="17"/>
      <c r="K460" s="17"/>
      <c r="N460" s="10"/>
      <c r="O460" s="45"/>
    </row>
    <row r="461" spans="5:15" x14ac:dyDescent="0.2">
      <c r="E461" s="10"/>
      <c r="F461" s="53"/>
      <c r="G461" s="9"/>
      <c r="J461" s="17"/>
      <c r="K461" s="17"/>
      <c r="N461" s="10"/>
      <c r="O461" s="45"/>
    </row>
    <row r="462" spans="5:15" x14ac:dyDescent="0.2">
      <c r="E462" s="10"/>
      <c r="F462" s="53"/>
      <c r="G462" s="9"/>
      <c r="J462" s="17"/>
      <c r="K462" s="17"/>
      <c r="N462" s="10"/>
      <c r="O462" s="45"/>
    </row>
    <row r="463" spans="5:15" x14ac:dyDescent="0.2">
      <c r="E463" s="10"/>
      <c r="F463" s="53"/>
      <c r="G463" s="9"/>
      <c r="J463" s="17"/>
      <c r="K463" s="17"/>
      <c r="N463" s="10"/>
      <c r="O463" s="45"/>
    </row>
    <row r="464" spans="5:15" x14ac:dyDescent="0.2">
      <c r="E464" s="10"/>
      <c r="F464" s="53"/>
      <c r="G464" s="9"/>
      <c r="J464" s="17"/>
      <c r="K464" s="17"/>
      <c r="N464" s="10"/>
      <c r="O464" s="45"/>
    </row>
    <row r="465" spans="5:15" x14ac:dyDescent="0.2">
      <c r="E465" s="10"/>
      <c r="F465" s="53"/>
      <c r="G465" s="9"/>
      <c r="J465" s="17"/>
      <c r="K465" s="17"/>
      <c r="N465" s="10"/>
      <c r="O465" s="45"/>
    </row>
    <row r="466" spans="5:15" x14ac:dyDescent="0.2">
      <c r="E466" s="10"/>
      <c r="F466" s="53"/>
      <c r="G466" s="9"/>
      <c r="J466" s="17"/>
      <c r="K466" s="17"/>
      <c r="N466" s="10"/>
      <c r="O466" s="45"/>
    </row>
    <row r="467" spans="5:15" x14ac:dyDescent="0.2">
      <c r="E467" s="10"/>
      <c r="F467" s="53"/>
      <c r="G467" s="9"/>
      <c r="J467" s="17"/>
      <c r="K467" s="17"/>
      <c r="N467" s="10"/>
      <c r="O467" s="45"/>
    </row>
    <row r="468" spans="5:15" x14ac:dyDescent="0.2">
      <c r="E468" s="10"/>
      <c r="F468" s="53"/>
      <c r="G468" s="9"/>
      <c r="J468" s="17"/>
      <c r="K468" s="17"/>
      <c r="N468" s="10"/>
      <c r="O468" s="45"/>
    </row>
    <row r="469" spans="5:15" x14ac:dyDescent="0.2">
      <c r="E469" s="10"/>
      <c r="F469" s="53"/>
      <c r="G469" s="9"/>
      <c r="J469" s="17"/>
      <c r="K469" s="17"/>
      <c r="N469" s="10"/>
      <c r="O469" s="45"/>
    </row>
    <row r="470" spans="5:15" x14ac:dyDescent="0.2">
      <c r="E470" s="10"/>
      <c r="F470" s="53"/>
      <c r="G470" s="9"/>
      <c r="J470" s="17"/>
      <c r="K470" s="17"/>
      <c r="N470" s="10"/>
      <c r="O470" s="45"/>
    </row>
    <row r="471" spans="5:15" x14ac:dyDescent="0.2">
      <c r="E471" s="10"/>
      <c r="F471" s="53"/>
      <c r="G471" s="9"/>
      <c r="J471" s="17"/>
      <c r="K471" s="17"/>
      <c r="N471" s="10"/>
      <c r="O471" s="45"/>
    </row>
    <row r="472" spans="5:15" x14ac:dyDescent="0.2">
      <c r="E472" s="10"/>
      <c r="F472" s="53"/>
      <c r="G472" s="9"/>
      <c r="J472" s="17"/>
      <c r="K472" s="17"/>
      <c r="N472" s="10"/>
      <c r="O472" s="45"/>
    </row>
    <row r="473" spans="5:15" x14ac:dyDescent="0.2">
      <c r="E473" s="10"/>
      <c r="F473" s="53"/>
      <c r="G473" s="9"/>
      <c r="J473" s="17"/>
      <c r="K473" s="17"/>
      <c r="N473" s="10"/>
      <c r="O473" s="45"/>
    </row>
    <row r="474" spans="5:15" x14ac:dyDescent="0.2">
      <c r="E474" s="10"/>
      <c r="F474" s="53"/>
      <c r="G474" s="9"/>
      <c r="J474" s="17"/>
      <c r="K474" s="17"/>
      <c r="N474" s="10"/>
      <c r="O474" s="45"/>
    </row>
    <row r="475" spans="5:15" x14ac:dyDescent="0.2">
      <c r="E475" s="10"/>
      <c r="F475" s="53"/>
      <c r="G475" s="9"/>
      <c r="J475" s="17"/>
      <c r="K475" s="17"/>
      <c r="N475" s="10"/>
      <c r="O475" s="45"/>
    </row>
    <row r="476" spans="5:15" x14ac:dyDescent="0.2">
      <c r="E476" s="10"/>
      <c r="F476" s="53"/>
      <c r="G476" s="9"/>
      <c r="J476" s="17"/>
      <c r="K476" s="17"/>
      <c r="N476" s="10"/>
      <c r="O476" s="45"/>
    </row>
    <row r="477" spans="5:15" x14ac:dyDescent="0.2">
      <c r="E477" s="10"/>
      <c r="F477" s="53"/>
      <c r="G477" s="9"/>
      <c r="J477" s="17"/>
      <c r="K477" s="17"/>
      <c r="N477" s="10"/>
      <c r="O477" s="45"/>
    </row>
    <row r="478" spans="5:15" x14ac:dyDescent="0.2">
      <c r="E478" s="10"/>
      <c r="F478" s="53"/>
      <c r="G478" s="9"/>
      <c r="J478" s="17"/>
      <c r="K478" s="17"/>
      <c r="N478" s="10"/>
      <c r="O478" s="45"/>
    </row>
    <row r="479" spans="5:15" x14ac:dyDescent="0.2">
      <c r="E479" s="10"/>
      <c r="F479" s="53"/>
      <c r="G479" s="9"/>
      <c r="J479" s="17"/>
      <c r="K479" s="17"/>
      <c r="N479" s="10"/>
      <c r="O479" s="45"/>
    </row>
    <row r="480" spans="5:15" x14ac:dyDescent="0.2">
      <c r="E480" s="10"/>
      <c r="F480" s="53"/>
      <c r="G480" s="9"/>
      <c r="J480" s="17"/>
      <c r="K480" s="17"/>
      <c r="N480" s="10"/>
      <c r="O480" s="45"/>
    </row>
    <row r="481" spans="5:15" x14ac:dyDescent="0.2">
      <c r="E481" s="10"/>
      <c r="F481" s="53"/>
      <c r="G481" s="9"/>
      <c r="J481" s="17"/>
      <c r="K481" s="17"/>
      <c r="N481" s="10"/>
      <c r="O481" s="45"/>
    </row>
    <row r="482" spans="5:15" x14ac:dyDescent="0.2">
      <c r="E482" s="10"/>
      <c r="F482" s="53"/>
      <c r="G482" s="9"/>
      <c r="J482" s="17"/>
      <c r="K482" s="17"/>
      <c r="N482" s="10"/>
      <c r="O482" s="45"/>
    </row>
    <row r="483" spans="5:15" x14ac:dyDescent="0.2">
      <c r="E483" s="10"/>
      <c r="F483" s="53"/>
      <c r="G483" s="9"/>
      <c r="J483" s="17"/>
      <c r="K483" s="17"/>
      <c r="N483" s="10"/>
      <c r="O483" s="45"/>
    </row>
    <row r="484" spans="5:15" x14ac:dyDescent="0.2">
      <c r="E484" s="10"/>
      <c r="F484" s="53"/>
      <c r="G484" s="9"/>
      <c r="J484" s="17"/>
      <c r="K484" s="17"/>
      <c r="N484" s="10"/>
      <c r="O484" s="45"/>
    </row>
    <row r="485" spans="5:15" x14ac:dyDescent="0.2">
      <c r="E485" s="10"/>
      <c r="F485" s="53"/>
      <c r="G485" s="9"/>
      <c r="J485" s="17"/>
      <c r="K485" s="17"/>
      <c r="N485" s="10"/>
      <c r="O485" s="45"/>
    </row>
    <row r="486" spans="5:15" x14ac:dyDescent="0.2">
      <c r="E486" s="10"/>
      <c r="F486" s="53"/>
      <c r="G486" s="9"/>
      <c r="J486" s="17"/>
      <c r="K486" s="17"/>
      <c r="N486" s="10"/>
      <c r="O486" s="45"/>
    </row>
    <row r="487" spans="5:15" x14ac:dyDescent="0.2">
      <c r="E487" s="10"/>
      <c r="F487" s="53"/>
      <c r="G487" s="9"/>
      <c r="J487" s="17"/>
      <c r="K487" s="17"/>
      <c r="N487" s="10"/>
      <c r="O487" s="45"/>
    </row>
    <row r="488" spans="5:15" x14ac:dyDescent="0.2">
      <c r="E488" s="10"/>
      <c r="F488" s="53"/>
      <c r="G488" s="9"/>
      <c r="J488" s="17"/>
      <c r="K488" s="17"/>
      <c r="N488" s="10"/>
      <c r="O488" s="45"/>
    </row>
    <row r="489" spans="5:15" x14ac:dyDescent="0.2">
      <c r="E489" s="10"/>
      <c r="F489" s="53"/>
      <c r="G489" s="9"/>
      <c r="J489" s="17"/>
      <c r="K489" s="17"/>
      <c r="N489" s="10"/>
      <c r="O489" s="45"/>
    </row>
    <row r="490" spans="5:15" x14ac:dyDescent="0.2">
      <c r="E490" s="10"/>
      <c r="F490" s="53"/>
      <c r="G490" s="9"/>
      <c r="J490" s="17"/>
      <c r="K490" s="17"/>
      <c r="N490" s="10"/>
      <c r="O490" s="45"/>
    </row>
    <row r="491" spans="5:15" x14ac:dyDescent="0.2">
      <c r="E491" s="10"/>
      <c r="F491" s="53"/>
      <c r="G491" s="9"/>
      <c r="J491" s="17"/>
      <c r="K491" s="17"/>
      <c r="N491" s="10"/>
      <c r="O491" s="45"/>
    </row>
    <row r="492" spans="5:15" x14ac:dyDescent="0.2">
      <c r="E492" s="10"/>
      <c r="F492" s="53"/>
      <c r="G492" s="9"/>
      <c r="J492" s="17"/>
      <c r="K492" s="17"/>
      <c r="N492" s="10"/>
      <c r="O492" s="45"/>
    </row>
    <row r="493" spans="5:15" x14ac:dyDescent="0.2">
      <c r="E493" s="10"/>
      <c r="F493" s="53"/>
      <c r="G493" s="9"/>
      <c r="J493" s="17"/>
      <c r="K493" s="17"/>
      <c r="N493" s="10"/>
      <c r="O493" s="45"/>
    </row>
    <row r="494" spans="5:15" x14ac:dyDescent="0.2">
      <c r="E494" s="10"/>
      <c r="F494" s="53"/>
      <c r="G494" s="9"/>
      <c r="J494" s="17"/>
      <c r="K494" s="17"/>
      <c r="N494" s="10"/>
      <c r="O494" s="45"/>
    </row>
    <row r="495" spans="5:15" x14ac:dyDescent="0.2">
      <c r="E495" s="10"/>
      <c r="F495" s="53"/>
      <c r="G495" s="9"/>
      <c r="J495" s="17"/>
      <c r="K495" s="17"/>
      <c r="N495" s="10"/>
      <c r="O495" s="45"/>
    </row>
    <row r="496" spans="5:15" x14ac:dyDescent="0.2">
      <c r="E496" s="10"/>
      <c r="F496" s="53"/>
      <c r="G496" s="9"/>
      <c r="J496" s="17"/>
      <c r="K496" s="17"/>
      <c r="N496" s="10"/>
      <c r="O496" s="45"/>
    </row>
    <row r="497" spans="5:15" x14ac:dyDescent="0.2">
      <c r="E497" s="10"/>
      <c r="F497" s="53"/>
      <c r="G497" s="9"/>
      <c r="J497" s="17"/>
      <c r="K497" s="17"/>
      <c r="N497" s="10"/>
      <c r="O497" s="45"/>
    </row>
    <row r="498" spans="5:15" x14ac:dyDescent="0.2">
      <c r="E498" s="10"/>
      <c r="F498" s="53"/>
      <c r="G498" s="9"/>
      <c r="J498" s="17"/>
      <c r="K498" s="17"/>
      <c r="N498" s="10"/>
      <c r="O498" s="45"/>
    </row>
    <row r="499" spans="5:15" x14ac:dyDescent="0.2">
      <c r="E499" s="10"/>
      <c r="F499" s="53"/>
      <c r="G499" s="9"/>
      <c r="J499" s="17"/>
      <c r="K499" s="17"/>
      <c r="N499" s="10"/>
      <c r="O499" s="45"/>
    </row>
    <row r="500" spans="5:15" x14ac:dyDescent="0.2">
      <c r="E500" s="10"/>
      <c r="F500" s="53"/>
      <c r="G500" s="9"/>
      <c r="J500" s="17"/>
      <c r="K500" s="17"/>
      <c r="N500" s="10"/>
      <c r="O500" s="45"/>
    </row>
    <row r="501" spans="5:15" x14ac:dyDescent="0.2">
      <c r="E501" s="10"/>
      <c r="F501" s="53"/>
      <c r="G501" s="9"/>
      <c r="J501" s="17"/>
      <c r="K501" s="17"/>
      <c r="N501" s="10"/>
      <c r="O501" s="45"/>
    </row>
    <row r="502" spans="5:15" x14ac:dyDescent="0.2">
      <c r="E502" s="10"/>
      <c r="F502" s="53"/>
      <c r="G502" s="9"/>
      <c r="J502" s="17"/>
      <c r="K502" s="17"/>
      <c r="N502" s="10"/>
      <c r="O502" s="45"/>
    </row>
    <row r="503" spans="5:15" x14ac:dyDescent="0.2">
      <c r="E503" s="10"/>
      <c r="F503" s="53"/>
      <c r="G503" s="9"/>
      <c r="J503" s="17"/>
      <c r="K503" s="17"/>
      <c r="N503" s="10"/>
      <c r="O503" s="45"/>
    </row>
    <row r="504" spans="5:15" x14ac:dyDescent="0.2">
      <c r="E504" s="10"/>
      <c r="F504" s="53"/>
      <c r="G504" s="9"/>
      <c r="J504" s="17"/>
      <c r="K504" s="17"/>
      <c r="N504" s="10"/>
      <c r="O504" s="45"/>
    </row>
    <row r="505" spans="5:15" x14ac:dyDescent="0.2">
      <c r="E505" s="10"/>
      <c r="F505" s="53"/>
      <c r="G505" s="9"/>
      <c r="J505" s="17"/>
      <c r="K505" s="17"/>
      <c r="N505" s="10"/>
      <c r="O505" s="45"/>
    </row>
    <row r="506" spans="5:15" x14ac:dyDescent="0.2">
      <c r="E506" s="10"/>
      <c r="F506" s="53"/>
      <c r="G506" s="9"/>
      <c r="J506" s="17"/>
      <c r="K506" s="17"/>
      <c r="N506" s="10"/>
      <c r="O506" s="45"/>
    </row>
    <row r="507" spans="5:15" x14ac:dyDescent="0.2">
      <c r="E507" s="10"/>
      <c r="F507" s="53"/>
      <c r="G507" s="9"/>
      <c r="J507" s="17"/>
      <c r="K507" s="17"/>
      <c r="N507" s="10"/>
      <c r="O507" s="45"/>
    </row>
    <row r="508" spans="5:15" x14ac:dyDescent="0.2">
      <c r="E508" s="10"/>
      <c r="F508" s="53"/>
      <c r="G508" s="9"/>
      <c r="J508" s="17"/>
      <c r="K508" s="17"/>
      <c r="N508" s="10"/>
      <c r="O508" s="45"/>
    </row>
    <row r="509" spans="5:15" x14ac:dyDescent="0.2">
      <c r="E509" s="10"/>
      <c r="F509" s="53"/>
      <c r="G509" s="9"/>
      <c r="J509" s="17"/>
      <c r="K509" s="17"/>
      <c r="N509" s="10"/>
      <c r="O509" s="45"/>
    </row>
    <row r="510" spans="5:15" x14ac:dyDescent="0.2">
      <c r="E510" s="10"/>
      <c r="F510" s="53"/>
      <c r="G510" s="9"/>
      <c r="J510" s="17"/>
      <c r="K510" s="17"/>
      <c r="N510" s="10"/>
      <c r="O510" s="45"/>
    </row>
    <row r="511" spans="5:15" x14ac:dyDescent="0.2">
      <c r="E511" s="10"/>
      <c r="F511" s="53"/>
      <c r="G511" s="9"/>
      <c r="J511" s="17"/>
      <c r="K511" s="17"/>
      <c r="N511" s="10"/>
      <c r="O511" s="45"/>
    </row>
    <row r="512" spans="5:15" x14ac:dyDescent="0.2">
      <c r="E512" s="10"/>
      <c r="F512" s="53"/>
      <c r="G512" s="9"/>
      <c r="J512" s="17"/>
      <c r="K512" s="17"/>
      <c r="N512" s="10"/>
      <c r="O512" s="45"/>
    </row>
    <row r="513" spans="5:15" x14ac:dyDescent="0.2">
      <c r="E513" s="10"/>
      <c r="F513" s="53"/>
      <c r="G513" s="9"/>
      <c r="J513" s="17"/>
      <c r="K513" s="17"/>
      <c r="N513" s="10"/>
      <c r="O513" s="45"/>
    </row>
    <row r="514" spans="5:15" x14ac:dyDescent="0.2">
      <c r="E514" s="10"/>
      <c r="F514" s="53"/>
      <c r="G514" s="9"/>
      <c r="J514" s="17"/>
      <c r="K514" s="17"/>
      <c r="N514" s="10"/>
      <c r="O514" s="45"/>
    </row>
    <row r="515" spans="5:15" x14ac:dyDescent="0.2">
      <c r="E515" s="10"/>
      <c r="F515" s="53"/>
      <c r="G515" s="9"/>
      <c r="J515" s="17"/>
      <c r="K515" s="17"/>
      <c r="N515" s="10"/>
      <c r="O515" s="45"/>
    </row>
    <row r="516" spans="5:15" x14ac:dyDescent="0.2">
      <c r="E516" s="10"/>
      <c r="F516" s="53"/>
      <c r="G516" s="9"/>
      <c r="J516" s="17"/>
      <c r="K516" s="17"/>
      <c r="N516" s="10"/>
      <c r="O516" s="45"/>
    </row>
    <row r="517" spans="5:15" x14ac:dyDescent="0.2">
      <c r="E517" s="10"/>
      <c r="F517" s="53"/>
      <c r="G517" s="9"/>
      <c r="J517" s="17"/>
      <c r="K517" s="17"/>
      <c r="N517" s="10"/>
      <c r="O517" s="45"/>
    </row>
    <row r="518" spans="5:15" x14ac:dyDescent="0.2">
      <c r="E518" s="10"/>
      <c r="F518" s="53"/>
      <c r="G518" s="9"/>
      <c r="J518" s="17"/>
      <c r="K518" s="17"/>
      <c r="N518" s="10"/>
      <c r="O518" s="45"/>
    </row>
    <row r="519" spans="5:15" x14ac:dyDescent="0.2">
      <c r="E519" s="10"/>
      <c r="F519" s="53"/>
      <c r="G519" s="9"/>
      <c r="J519" s="17"/>
      <c r="K519" s="17"/>
      <c r="N519" s="10"/>
      <c r="O519" s="45"/>
    </row>
    <row r="520" spans="5:15" x14ac:dyDescent="0.2">
      <c r="E520" s="10"/>
      <c r="F520" s="53"/>
      <c r="G520" s="9"/>
      <c r="J520" s="17"/>
      <c r="K520" s="17"/>
      <c r="N520" s="10"/>
      <c r="O520" s="45"/>
    </row>
    <row r="521" spans="5:15" x14ac:dyDescent="0.2">
      <c r="E521" s="10"/>
      <c r="F521" s="53"/>
      <c r="G521" s="9"/>
      <c r="J521" s="17"/>
      <c r="K521" s="17"/>
      <c r="N521" s="10"/>
      <c r="O521" s="45"/>
    </row>
    <row r="522" spans="5:15" x14ac:dyDescent="0.2">
      <c r="E522" s="10"/>
      <c r="F522" s="53"/>
      <c r="G522" s="9"/>
      <c r="J522" s="17"/>
      <c r="K522" s="17"/>
      <c r="N522" s="10"/>
      <c r="O522" s="45"/>
    </row>
    <row r="523" spans="5:15" x14ac:dyDescent="0.2">
      <c r="E523" s="10"/>
      <c r="F523" s="53"/>
      <c r="G523" s="9"/>
      <c r="J523" s="17"/>
      <c r="K523" s="17"/>
      <c r="N523" s="10"/>
      <c r="O523" s="45"/>
    </row>
    <row r="524" spans="5:15" x14ac:dyDescent="0.2">
      <c r="E524" s="10"/>
      <c r="F524" s="53"/>
      <c r="G524" s="9"/>
      <c r="J524" s="17"/>
      <c r="K524" s="17"/>
      <c r="N524" s="10"/>
      <c r="O524" s="45"/>
    </row>
    <row r="525" spans="5:15" x14ac:dyDescent="0.2">
      <c r="E525" s="10"/>
      <c r="F525" s="53"/>
      <c r="G525" s="9"/>
      <c r="J525" s="17"/>
      <c r="K525" s="17"/>
      <c r="N525" s="10"/>
      <c r="O525" s="45"/>
    </row>
    <row r="526" spans="5:15" x14ac:dyDescent="0.2">
      <c r="E526" s="10"/>
      <c r="F526" s="53"/>
      <c r="G526" s="9"/>
      <c r="J526" s="17"/>
      <c r="K526" s="17"/>
      <c r="N526" s="10"/>
      <c r="O526" s="45"/>
    </row>
    <row r="527" spans="5:15" x14ac:dyDescent="0.2">
      <c r="E527" s="10"/>
      <c r="F527" s="53"/>
      <c r="G527" s="9"/>
      <c r="J527" s="17"/>
      <c r="K527" s="17"/>
      <c r="N527" s="10"/>
      <c r="O527" s="45"/>
    </row>
    <row r="528" spans="5:15" x14ac:dyDescent="0.2">
      <c r="E528" s="10"/>
      <c r="F528" s="53"/>
      <c r="G528" s="9"/>
      <c r="J528" s="17"/>
      <c r="K528" s="17"/>
      <c r="N528" s="10"/>
      <c r="O528" s="45"/>
    </row>
    <row r="529" spans="5:15" x14ac:dyDescent="0.2">
      <c r="E529" s="10"/>
      <c r="F529" s="53"/>
      <c r="G529" s="9"/>
      <c r="J529" s="17"/>
      <c r="K529" s="17"/>
      <c r="N529" s="10"/>
      <c r="O529" s="45"/>
    </row>
    <row r="530" spans="5:15" x14ac:dyDescent="0.2">
      <c r="E530" s="10"/>
      <c r="F530" s="53"/>
      <c r="G530" s="9"/>
      <c r="J530" s="17"/>
      <c r="K530" s="17"/>
      <c r="N530" s="10"/>
      <c r="O530" s="45"/>
    </row>
    <row r="531" spans="5:15" x14ac:dyDescent="0.2">
      <c r="E531" s="10"/>
      <c r="F531" s="53"/>
      <c r="G531" s="9"/>
      <c r="J531" s="17"/>
      <c r="K531" s="17"/>
      <c r="N531" s="10"/>
      <c r="O531" s="45"/>
    </row>
    <row r="532" spans="5:15" x14ac:dyDescent="0.2">
      <c r="E532" s="10"/>
      <c r="F532" s="53"/>
      <c r="G532" s="9"/>
      <c r="J532" s="17"/>
      <c r="K532" s="17"/>
      <c r="N532" s="10"/>
      <c r="O532" s="45"/>
    </row>
    <row r="533" spans="5:15" x14ac:dyDescent="0.2">
      <c r="E533" s="10"/>
      <c r="F533" s="53"/>
      <c r="G533" s="9"/>
      <c r="J533" s="17"/>
      <c r="K533" s="17"/>
      <c r="N533" s="10"/>
      <c r="O533" s="45"/>
    </row>
    <row r="534" spans="5:15" x14ac:dyDescent="0.2">
      <c r="E534" s="10"/>
      <c r="F534" s="53"/>
      <c r="G534" s="9"/>
      <c r="J534" s="17"/>
      <c r="K534" s="17"/>
      <c r="N534" s="10"/>
      <c r="O534" s="45"/>
    </row>
    <row r="535" spans="5:15" x14ac:dyDescent="0.2">
      <c r="E535" s="10"/>
      <c r="F535" s="53"/>
      <c r="G535" s="9"/>
      <c r="J535" s="17"/>
      <c r="K535" s="17"/>
      <c r="N535" s="10"/>
      <c r="O535" s="45"/>
    </row>
    <row r="536" spans="5:15" x14ac:dyDescent="0.2">
      <c r="E536" s="10"/>
      <c r="F536" s="53"/>
      <c r="G536" s="9"/>
      <c r="J536" s="17"/>
      <c r="K536" s="17"/>
      <c r="N536" s="10"/>
      <c r="O536" s="45"/>
    </row>
    <row r="537" spans="5:15" x14ac:dyDescent="0.2">
      <c r="E537" s="10"/>
      <c r="F537" s="53"/>
      <c r="G537" s="9"/>
      <c r="J537" s="17"/>
      <c r="K537" s="17"/>
      <c r="N537" s="10"/>
      <c r="O537" s="45"/>
    </row>
    <row r="538" spans="5:15" x14ac:dyDescent="0.2">
      <c r="E538" s="10"/>
      <c r="F538" s="53"/>
      <c r="G538" s="9"/>
      <c r="J538" s="17"/>
      <c r="K538" s="17"/>
      <c r="N538" s="10"/>
      <c r="O538" s="45"/>
    </row>
    <row r="539" spans="5:15" x14ac:dyDescent="0.2">
      <c r="E539" s="10"/>
      <c r="F539" s="53"/>
      <c r="G539" s="9"/>
      <c r="J539" s="17"/>
      <c r="K539" s="17"/>
      <c r="N539" s="10"/>
      <c r="O539" s="45"/>
    </row>
    <row r="540" spans="5:15" x14ac:dyDescent="0.2">
      <c r="E540" s="10"/>
      <c r="F540" s="53"/>
      <c r="G540" s="9"/>
      <c r="J540" s="17"/>
      <c r="K540" s="17"/>
      <c r="N540" s="10"/>
      <c r="O540" s="45"/>
    </row>
    <row r="541" spans="5:15" x14ac:dyDescent="0.2">
      <c r="E541" s="10"/>
      <c r="F541" s="53"/>
      <c r="G541" s="9"/>
      <c r="J541" s="17"/>
      <c r="K541" s="17"/>
      <c r="N541" s="10"/>
      <c r="O541" s="45"/>
    </row>
    <row r="542" spans="5:15" x14ac:dyDescent="0.2">
      <c r="E542" s="10"/>
      <c r="F542" s="53"/>
      <c r="G542" s="9"/>
      <c r="J542" s="17"/>
      <c r="K542" s="17"/>
      <c r="N542" s="10"/>
      <c r="O542" s="45"/>
    </row>
    <row r="543" spans="5:15" x14ac:dyDescent="0.2">
      <c r="E543" s="10"/>
      <c r="F543" s="53"/>
      <c r="G543" s="9"/>
      <c r="J543" s="17"/>
      <c r="K543" s="17"/>
      <c r="N543" s="10"/>
      <c r="O543" s="45"/>
    </row>
    <row r="544" spans="5:15" x14ac:dyDescent="0.2">
      <c r="E544" s="10"/>
      <c r="F544" s="53"/>
      <c r="G544" s="9"/>
      <c r="J544" s="17"/>
      <c r="K544" s="17"/>
      <c r="N544" s="10"/>
      <c r="O544" s="45"/>
    </row>
    <row r="545" spans="5:15" x14ac:dyDescent="0.2">
      <c r="E545" s="10"/>
      <c r="F545" s="53"/>
      <c r="G545" s="9"/>
      <c r="J545" s="17"/>
      <c r="K545" s="17"/>
      <c r="N545" s="10"/>
      <c r="O545" s="45"/>
    </row>
    <row r="546" spans="5:15" x14ac:dyDescent="0.2">
      <c r="E546" s="10"/>
      <c r="F546" s="53"/>
      <c r="G546" s="9"/>
      <c r="J546" s="17"/>
      <c r="K546" s="17"/>
      <c r="N546" s="10"/>
      <c r="O546" s="45"/>
    </row>
    <row r="547" spans="5:15" x14ac:dyDescent="0.2">
      <c r="E547" s="10"/>
      <c r="F547" s="53"/>
      <c r="G547" s="9"/>
      <c r="J547" s="17"/>
      <c r="K547" s="17"/>
      <c r="N547" s="10"/>
      <c r="O547" s="45"/>
    </row>
    <row r="548" spans="5:15" x14ac:dyDescent="0.2">
      <c r="E548" s="10"/>
      <c r="F548" s="53"/>
      <c r="G548" s="9"/>
      <c r="J548" s="17"/>
      <c r="K548" s="17"/>
      <c r="N548" s="10"/>
      <c r="O548" s="45"/>
    </row>
    <row r="549" spans="5:15" x14ac:dyDescent="0.2">
      <c r="E549" s="10"/>
      <c r="F549" s="53"/>
      <c r="G549" s="9"/>
      <c r="J549" s="17"/>
      <c r="K549" s="17"/>
      <c r="N549" s="10"/>
      <c r="O549" s="45"/>
    </row>
    <row r="550" spans="5:15" x14ac:dyDescent="0.2">
      <c r="E550" s="10"/>
      <c r="F550" s="53"/>
      <c r="G550" s="9"/>
      <c r="J550" s="17"/>
      <c r="K550" s="17"/>
      <c r="N550" s="10"/>
      <c r="O550" s="45"/>
    </row>
    <row r="551" spans="5:15" x14ac:dyDescent="0.2">
      <c r="E551" s="10"/>
      <c r="F551" s="53"/>
      <c r="G551" s="9"/>
      <c r="J551" s="17"/>
      <c r="K551" s="17"/>
      <c r="N551" s="10"/>
      <c r="O551" s="45"/>
    </row>
    <row r="552" spans="5:15" x14ac:dyDescent="0.2">
      <c r="E552" s="10"/>
      <c r="F552" s="53"/>
      <c r="G552" s="9"/>
      <c r="J552" s="17"/>
      <c r="K552" s="17"/>
      <c r="N552" s="10"/>
      <c r="O552" s="45"/>
    </row>
    <row r="553" spans="5:15" x14ac:dyDescent="0.2">
      <c r="E553" s="10"/>
      <c r="F553" s="53"/>
      <c r="G553" s="9"/>
      <c r="J553" s="17"/>
      <c r="K553" s="17"/>
      <c r="N553" s="10"/>
      <c r="O553" s="45"/>
    </row>
    <row r="554" spans="5:15" x14ac:dyDescent="0.2">
      <c r="E554" s="10"/>
      <c r="F554" s="53"/>
      <c r="G554" s="9"/>
      <c r="J554" s="17"/>
      <c r="K554" s="17"/>
      <c r="N554" s="10"/>
      <c r="O554" s="45"/>
    </row>
    <row r="555" spans="5:15" x14ac:dyDescent="0.2">
      <c r="E555" s="10"/>
      <c r="F555" s="53"/>
      <c r="G555" s="9"/>
      <c r="J555" s="17"/>
      <c r="K555" s="17"/>
      <c r="N555" s="10"/>
      <c r="O555" s="45"/>
    </row>
    <row r="556" spans="5:15" x14ac:dyDescent="0.2">
      <c r="E556" s="10"/>
      <c r="F556" s="53"/>
      <c r="G556" s="9"/>
      <c r="J556" s="17"/>
      <c r="K556" s="17"/>
      <c r="N556" s="10"/>
      <c r="O556" s="45"/>
    </row>
    <row r="557" spans="5:15" x14ac:dyDescent="0.2">
      <c r="E557" s="10"/>
      <c r="F557" s="53"/>
      <c r="G557" s="9"/>
      <c r="J557" s="17"/>
      <c r="K557" s="17"/>
      <c r="N557" s="10"/>
      <c r="O557" s="45"/>
    </row>
    <row r="558" spans="5:15" x14ac:dyDescent="0.2">
      <c r="E558" s="10"/>
      <c r="F558" s="53"/>
      <c r="G558" s="9"/>
      <c r="J558" s="17"/>
      <c r="K558" s="17"/>
      <c r="N558" s="10"/>
      <c r="O558" s="45"/>
    </row>
    <row r="559" spans="5:15" x14ac:dyDescent="0.2">
      <c r="E559" s="10"/>
      <c r="F559" s="53"/>
      <c r="G559" s="9"/>
      <c r="J559" s="17"/>
      <c r="K559" s="17"/>
      <c r="N559" s="10"/>
      <c r="O559" s="45"/>
    </row>
    <row r="560" spans="5:15" x14ac:dyDescent="0.2">
      <c r="E560" s="10"/>
      <c r="F560" s="53"/>
      <c r="G560" s="9"/>
      <c r="J560" s="17"/>
      <c r="K560" s="17"/>
      <c r="N560" s="10"/>
      <c r="O560" s="45"/>
    </row>
    <row r="561" spans="5:15" x14ac:dyDescent="0.2">
      <c r="E561" s="10"/>
      <c r="F561" s="53"/>
      <c r="G561" s="9"/>
      <c r="J561" s="17"/>
      <c r="K561" s="17"/>
      <c r="N561" s="10"/>
      <c r="O561" s="45"/>
    </row>
    <row r="562" spans="5:15" x14ac:dyDescent="0.2">
      <c r="E562" s="10"/>
      <c r="F562" s="53"/>
      <c r="G562" s="9"/>
      <c r="J562" s="17"/>
      <c r="K562" s="17"/>
      <c r="N562" s="10"/>
      <c r="O562" s="45"/>
    </row>
    <row r="563" spans="5:15" x14ac:dyDescent="0.2">
      <c r="E563" s="10"/>
      <c r="F563" s="53"/>
      <c r="G563" s="9"/>
      <c r="J563" s="17"/>
      <c r="K563" s="17"/>
      <c r="N563" s="10"/>
      <c r="O563" s="45"/>
    </row>
    <row r="564" spans="5:15" x14ac:dyDescent="0.2">
      <c r="E564" s="10"/>
      <c r="F564" s="53"/>
      <c r="G564" s="9"/>
      <c r="J564" s="17"/>
      <c r="K564" s="17"/>
      <c r="N564" s="10"/>
      <c r="O564" s="45"/>
    </row>
    <row r="565" spans="5:15" x14ac:dyDescent="0.2">
      <c r="E565" s="10"/>
      <c r="F565" s="53"/>
      <c r="G565" s="9"/>
      <c r="J565" s="17"/>
      <c r="K565" s="17"/>
      <c r="N565" s="10"/>
      <c r="O565" s="45"/>
    </row>
    <row r="566" spans="5:15" x14ac:dyDescent="0.2">
      <c r="E566" s="10"/>
      <c r="F566" s="53"/>
      <c r="G566" s="9"/>
      <c r="J566" s="17"/>
      <c r="K566" s="17"/>
      <c r="N566" s="10"/>
      <c r="O566" s="45"/>
    </row>
    <row r="567" spans="5:15" x14ac:dyDescent="0.2">
      <c r="E567" s="10"/>
      <c r="F567" s="53"/>
      <c r="G567" s="9"/>
      <c r="J567" s="17"/>
      <c r="K567" s="17"/>
      <c r="N567" s="10"/>
      <c r="O567" s="45"/>
    </row>
    <row r="568" spans="5:15" x14ac:dyDescent="0.2">
      <c r="E568" s="10"/>
      <c r="F568" s="53"/>
      <c r="G568" s="9"/>
      <c r="J568" s="17"/>
      <c r="K568" s="17"/>
      <c r="N568" s="10"/>
      <c r="O568" s="45"/>
    </row>
    <row r="569" spans="5:15" x14ac:dyDescent="0.2">
      <c r="E569" s="10"/>
      <c r="F569" s="53"/>
      <c r="G569" s="9"/>
      <c r="J569" s="17"/>
      <c r="K569" s="17"/>
      <c r="N569" s="10"/>
      <c r="O569" s="45"/>
    </row>
    <row r="570" spans="5:15" x14ac:dyDescent="0.2">
      <c r="E570" s="10"/>
      <c r="F570" s="53"/>
      <c r="G570" s="9"/>
      <c r="J570" s="17"/>
      <c r="K570" s="17"/>
      <c r="N570" s="10"/>
      <c r="O570" s="45"/>
    </row>
    <row r="571" spans="5:15" x14ac:dyDescent="0.2">
      <c r="E571" s="10"/>
      <c r="F571" s="53"/>
      <c r="G571" s="9"/>
      <c r="J571" s="17"/>
      <c r="K571" s="17"/>
      <c r="N571" s="10"/>
      <c r="O571" s="45"/>
    </row>
    <row r="572" spans="5:15" x14ac:dyDescent="0.2">
      <c r="E572" s="10"/>
      <c r="F572" s="53"/>
      <c r="G572" s="9"/>
      <c r="J572" s="17"/>
      <c r="K572" s="17"/>
      <c r="N572" s="10"/>
      <c r="O572" s="45"/>
    </row>
    <row r="573" spans="5:15" x14ac:dyDescent="0.2">
      <c r="E573" s="10"/>
      <c r="F573" s="53"/>
      <c r="G573" s="9"/>
      <c r="J573" s="17"/>
      <c r="K573" s="17"/>
      <c r="N573" s="10"/>
      <c r="O573" s="45"/>
    </row>
    <row r="574" spans="5:15" x14ac:dyDescent="0.2">
      <c r="E574" s="10"/>
      <c r="F574" s="53"/>
      <c r="G574" s="9"/>
      <c r="J574" s="17"/>
      <c r="K574" s="17"/>
      <c r="N574" s="10"/>
      <c r="O574" s="45"/>
    </row>
    <row r="575" spans="5:15" x14ac:dyDescent="0.2">
      <c r="E575" s="10"/>
      <c r="F575" s="53"/>
      <c r="G575" s="9"/>
      <c r="J575" s="17"/>
      <c r="K575" s="17"/>
      <c r="N575" s="10"/>
      <c r="O575" s="45"/>
    </row>
    <row r="576" spans="5:15" x14ac:dyDescent="0.2">
      <c r="E576" s="10"/>
      <c r="F576" s="53"/>
      <c r="G576" s="9"/>
      <c r="J576" s="17"/>
      <c r="K576" s="17"/>
      <c r="N576" s="10"/>
      <c r="O576" s="45"/>
    </row>
    <row r="577" spans="5:15" x14ac:dyDescent="0.2">
      <c r="E577" s="10"/>
      <c r="F577" s="53"/>
      <c r="G577" s="9"/>
      <c r="J577" s="17"/>
      <c r="K577" s="17"/>
      <c r="N577" s="10"/>
      <c r="O577" s="45"/>
    </row>
    <row r="578" spans="5:15" x14ac:dyDescent="0.2">
      <c r="E578" s="10"/>
      <c r="F578" s="53"/>
      <c r="G578" s="9"/>
      <c r="J578" s="17"/>
      <c r="K578" s="17"/>
      <c r="N578" s="10"/>
      <c r="O578" s="45"/>
    </row>
    <row r="579" spans="5:15" x14ac:dyDescent="0.2">
      <c r="E579" s="10"/>
      <c r="F579" s="53"/>
      <c r="G579" s="9"/>
      <c r="J579" s="17"/>
      <c r="K579" s="17"/>
      <c r="N579" s="10"/>
      <c r="O579" s="45"/>
    </row>
    <row r="580" spans="5:15" x14ac:dyDescent="0.2">
      <c r="E580" s="10"/>
      <c r="F580" s="53"/>
      <c r="G580" s="9"/>
      <c r="J580" s="17"/>
      <c r="K580" s="17"/>
      <c r="N580" s="10"/>
      <c r="O580" s="45"/>
    </row>
    <row r="581" spans="5:15" x14ac:dyDescent="0.2">
      <c r="E581" s="10"/>
      <c r="F581" s="53"/>
      <c r="G581" s="9"/>
      <c r="J581" s="17"/>
      <c r="K581" s="17"/>
      <c r="N581" s="10"/>
      <c r="O581" s="45"/>
    </row>
    <row r="582" spans="5:15" x14ac:dyDescent="0.2">
      <c r="E582" s="10"/>
      <c r="F582" s="53"/>
      <c r="G582" s="9"/>
      <c r="J582" s="17"/>
      <c r="K582" s="17"/>
      <c r="N582" s="10"/>
      <c r="O582" s="45"/>
    </row>
    <row r="583" spans="5:15" x14ac:dyDescent="0.2">
      <c r="E583" s="10"/>
      <c r="F583" s="53"/>
      <c r="G583" s="9"/>
      <c r="J583" s="17"/>
      <c r="K583" s="17"/>
      <c r="N583" s="10"/>
      <c r="O583" s="45"/>
    </row>
    <row r="584" spans="5:15" x14ac:dyDescent="0.2">
      <c r="E584" s="10"/>
      <c r="F584" s="53"/>
      <c r="G584" s="9"/>
      <c r="J584" s="17"/>
      <c r="K584" s="17"/>
      <c r="N584" s="10"/>
      <c r="O584" s="45"/>
    </row>
    <row r="585" spans="5:15" x14ac:dyDescent="0.2">
      <c r="E585" s="10"/>
      <c r="F585" s="53"/>
      <c r="G585" s="9"/>
      <c r="J585" s="17"/>
      <c r="K585" s="17"/>
      <c r="N585" s="10"/>
      <c r="O585" s="45"/>
    </row>
    <row r="586" spans="5:15" x14ac:dyDescent="0.2">
      <c r="E586" s="10"/>
      <c r="F586" s="53"/>
      <c r="G586" s="9"/>
      <c r="J586" s="17"/>
      <c r="K586" s="17"/>
      <c r="N586" s="10"/>
      <c r="O586" s="45"/>
    </row>
    <row r="587" spans="5:15" x14ac:dyDescent="0.2">
      <c r="E587" s="10"/>
      <c r="F587" s="53"/>
      <c r="G587" s="9"/>
      <c r="J587" s="17"/>
      <c r="K587" s="17"/>
      <c r="N587" s="10"/>
      <c r="O587" s="45"/>
    </row>
    <row r="588" spans="5:15" x14ac:dyDescent="0.2">
      <c r="E588" s="10"/>
      <c r="F588" s="53"/>
      <c r="G588" s="9"/>
      <c r="J588" s="17"/>
      <c r="K588" s="17"/>
      <c r="N588" s="10"/>
      <c r="O588" s="45"/>
    </row>
    <row r="589" spans="5:15" x14ac:dyDescent="0.2">
      <c r="E589" s="10"/>
      <c r="F589" s="53"/>
      <c r="G589" s="9"/>
      <c r="J589" s="17"/>
      <c r="K589" s="17"/>
      <c r="N589" s="10"/>
      <c r="O589" s="45"/>
    </row>
    <row r="590" spans="5:15" x14ac:dyDescent="0.2">
      <c r="E590" s="10"/>
      <c r="F590" s="53"/>
      <c r="G590" s="9"/>
      <c r="J590" s="17"/>
      <c r="K590" s="17"/>
      <c r="N590" s="10"/>
      <c r="O590" s="45"/>
    </row>
    <row r="591" spans="5:15" x14ac:dyDescent="0.2">
      <c r="E591" s="10"/>
      <c r="F591" s="53"/>
      <c r="G591" s="9"/>
      <c r="J591" s="17"/>
      <c r="K591" s="17"/>
      <c r="N591" s="10"/>
      <c r="O591" s="45"/>
    </row>
    <row r="592" spans="5:15" x14ac:dyDescent="0.2">
      <c r="E592" s="10"/>
      <c r="F592" s="53"/>
      <c r="G592" s="9"/>
      <c r="J592" s="17"/>
      <c r="K592" s="17"/>
      <c r="N592" s="10"/>
      <c r="O592" s="45"/>
    </row>
    <row r="593" spans="5:15" x14ac:dyDescent="0.2">
      <c r="E593" s="10"/>
      <c r="F593" s="53"/>
      <c r="G593" s="9"/>
      <c r="J593" s="17"/>
      <c r="K593" s="17"/>
      <c r="N593" s="10"/>
      <c r="O593" s="45"/>
    </row>
    <row r="594" spans="5:15" x14ac:dyDescent="0.2">
      <c r="E594" s="10"/>
      <c r="F594" s="53"/>
      <c r="G594" s="9"/>
      <c r="J594" s="17"/>
      <c r="K594" s="17"/>
      <c r="N594" s="10"/>
      <c r="O594" s="45"/>
    </row>
    <row r="595" spans="5:15" x14ac:dyDescent="0.2">
      <c r="E595" s="10"/>
      <c r="F595" s="53"/>
      <c r="G595" s="9"/>
      <c r="J595" s="17"/>
      <c r="K595" s="17"/>
      <c r="N595" s="10"/>
      <c r="O595" s="45"/>
    </row>
    <row r="596" spans="5:15" x14ac:dyDescent="0.2">
      <c r="E596" s="10"/>
      <c r="F596" s="53"/>
      <c r="G596" s="9"/>
      <c r="J596" s="17"/>
      <c r="K596" s="17"/>
      <c r="N596" s="10"/>
      <c r="O596" s="45"/>
    </row>
    <row r="597" spans="5:15" x14ac:dyDescent="0.2">
      <c r="E597" s="10"/>
      <c r="F597" s="53"/>
      <c r="G597" s="9"/>
      <c r="J597" s="17"/>
      <c r="K597" s="17"/>
      <c r="N597" s="10"/>
      <c r="O597" s="45"/>
    </row>
    <row r="598" spans="5:15" x14ac:dyDescent="0.2">
      <c r="E598" s="10"/>
      <c r="F598" s="53"/>
      <c r="G598" s="9"/>
      <c r="J598" s="17"/>
      <c r="K598" s="17"/>
      <c r="N598" s="10"/>
      <c r="O598" s="45"/>
    </row>
    <row r="599" spans="5:15" x14ac:dyDescent="0.2">
      <c r="E599" s="10"/>
      <c r="F599" s="53"/>
      <c r="G599" s="9"/>
      <c r="J599" s="17"/>
      <c r="K599" s="17"/>
      <c r="N599" s="10"/>
      <c r="O599" s="45"/>
    </row>
    <row r="600" spans="5:15" x14ac:dyDescent="0.2">
      <c r="E600" s="10"/>
      <c r="F600" s="53"/>
      <c r="G600" s="9"/>
      <c r="J600" s="17"/>
      <c r="K600" s="17"/>
      <c r="N600" s="10"/>
      <c r="O600" s="45"/>
    </row>
    <row r="601" spans="5:15" x14ac:dyDescent="0.2">
      <c r="E601" s="10"/>
      <c r="F601" s="53"/>
      <c r="G601" s="9"/>
      <c r="J601" s="17"/>
      <c r="K601" s="17"/>
      <c r="N601" s="10"/>
      <c r="O601" s="45"/>
    </row>
    <row r="602" spans="5:15" x14ac:dyDescent="0.2">
      <c r="E602" s="10"/>
      <c r="F602" s="53"/>
      <c r="G602" s="9"/>
      <c r="J602" s="17"/>
      <c r="K602" s="17"/>
      <c r="N602" s="10"/>
      <c r="O602" s="45"/>
    </row>
    <row r="603" spans="5:15" x14ac:dyDescent="0.2">
      <c r="E603" s="10"/>
      <c r="F603" s="53"/>
      <c r="G603" s="9"/>
      <c r="J603" s="17"/>
      <c r="K603" s="17"/>
      <c r="N603" s="10"/>
      <c r="O603" s="45"/>
    </row>
    <row r="604" spans="5:15" x14ac:dyDescent="0.2">
      <c r="E604" s="10"/>
      <c r="F604" s="53"/>
      <c r="G604" s="9"/>
      <c r="J604" s="17"/>
      <c r="K604" s="17"/>
      <c r="N604" s="10"/>
      <c r="O604" s="45"/>
    </row>
    <row r="605" spans="5:15" x14ac:dyDescent="0.2">
      <c r="E605" s="10"/>
      <c r="F605" s="53"/>
      <c r="G605" s="9"/>
      <c r="J605" s="17"/>
      <c r="K605" s="17"/>
      <c r="N605" s="10"/>
      <c r="O605" s="45"/>
    </row>
    <row r="606" spans="5:15" x14ac:dyDescent="0.2">
      <c r="E606" s="10"/>
      <c r="F606" s="53"/>
      <c r="G606" s="9"/>
      <c r="J606" s="17"/>
      <c r="K606" s="17"/>
      <c r="N606" s="10"/>
      <c r="O606" s="45"/>
    </row>
    <row r="607" spans="5:15" x14ac:dyDescent="0.2">
      <c r="E607" s="10"/>
      <c r="F607" s="53"/>
      <c r="G607" s="9"/>
      <c r="J607" s="17"/>
      <c r="K607" s="17"/>
      <c r="N607" s="10"/>
      <c r="O607" s="45"/>
    </row>
    <row r="608" spans="5:15" x14ac:dyDescent="0.2">
      <c r="E608" s="10"/>
      <c r="F608" s="53"/>
      <c r="G608" s="9"/>
      <c r="J608" s="17"/>
      <c r="K608" s="17"/>
      <c r="N608" s="10"/>
      <c r="O608" s="45"/>
    </row>
    <row r="609" spans="5:15" x14ac:dyDescent="0.2">
      <c r="E609" s="10"/>
      <c r="F609" s="53"/>
      <c r="G609" s="9"/>
      <c r="J609" s="17"/>
      <c r="K609" s="17"/>
      <c r="N609" s="10"/>
      <c r="O609" s="45"/>
    </row>
    <row r="610" spans="5:15" x14ac:dyDescent="0.2">
      <c r="E610" s="10"/>
      <c r="F610" s="53"/>
      <c r="G610" s="9"/>
      <c r="J610" s="17"/>
      <c r="K610" s="17"/>
      <c r="N610" s="10"/>
      <c r="O610" s="45"/>
    </row>
    <row r="611" spans="5:15" x14ac:dyDescent="0.2">
      <c r="E611" s="10"/>
      <c r="F611" s="53"/>
      <c r="G611" s="9"/>
      <c r="J611" s="17"/>
      <c r="K611" s="17"/>
      <c r="N611" s="10"/>
      <c r="O611" s="45"/>
    </row>
    <row r="612" spans="5:15" x14ac:dyDescent="0.2">
      <c r="E612" s="10"/>
      <c r="F612" s="53"/>
      <c r="G612" s="9"/>
      <c r="J612" s="17"/>
      <c r="K612" s="17"/>
      <c r="N612" s="10"/>
      <c r="O612" s="45"/>
    </row>
    <row r="613" spans="5:15" x14ac:dyDescent="0.2">
      <c r="E613" s="10"/>
      <c r="F613" s="53"/>
      <c r="G613" s="9"/>
      <c r="J613" s="17"/>
      <c r="K613" s="17"/>
      <c r="N613" s="10"/>
      <c r="O613" s="45"/>
    </row>
    <row r="614" spans="5:15" x14ac:dyDescent="0.2">
      <c r="E614" s="10"/>
      <c r="F614" s="53"/>
      <c r="G614" s="9"/>
      <c r="J614" s="17"/>
      <c r="K614" s="17"/>
      <c r="N614" s="10"/>
      <c r="O614" s="45"/>
    </row>
    <row r="615" spans="5:15" x14ac:dyDescent="0.2">
      <c r="E615" s="10"/>
      <c r="F615" s="53"/>
      <c r="G615" s="9"/>
      <c r="J615" s="17"/>
      <c r="K615" s="17"/>
      <c r="N615" s="10"/>
      <c r="O615" s="45"/>
    </row>
    <row r="616" spans="5:15" x14ac:dyDescent="0.2">
      <c r="E616" s="10"/>
      <c r="F616" s="53"/>
      <c r="G616" s="9"/>
      <c r="J616" s="17"/>
      <c r="K616" s="17"/>
      <c r="N616" s="10"/>
      <c r="O616" s="45"/>
    </row>
    <row r="617" spans="5:15" x14ac:dyDescent="0.2">
      <c r="E617" s="10"/>
      <c r="F617" s="53"/>
      <c r="G617" s="9"/>
      <c r="J617" s="17"/>
      <c r="K617" s="17"/>
      <c r="N617" s="10"/>
      <c r="O617" s="45"/>
    </row>
    <row r="618" spans="5:15" x14ac:dyDescent="0.2">
      <c r="E618" s="10"/>
      <c r="F618" s="53"/>
      <c r="G618" s="9"/>
      <c r="J618" s="17"/>
      <c r="K618" s="17"/>
      <c r="N618" s="10"/>
      <c r="O618" s="45"/>
    </row>
    <row r="619" spans="5:15" x14ac:dyDescent="0.2">
      <c r="E619" s="10"/>
      <c r="F619" s="53"/>
      <c r="G619" s="9"/>
      <c r="J619" s="17"/>
      <c r="K619" s="17"/>
      <c r="N619" s="10"/>
      <c r="O619" s="45"/>
    </row>
    <row r="620" spans="5:15" x14ac:dyDescent="0.2">
      <c r="E620" s="10"/>
      <c r="F620" s="53"/>
      <c r="G620" s="9"/>
      <c r="J620" s="17"/>
      <c r="K620" s="17"/>
      <c r="N620" s="10"/>
      <c r="O620" s="45"/>
    </row>
    <row r="621" spans="5:15" x14ac:dyDescent="0.2">
      <c r="E621" s="10"/>
      <c r="F621" s="53"/>
      <c r="G621" s="9"/>
      <c r="J621" s="17"/>
      <c r="K621" s="17"/>
      <c r="N621" s="10"/>
      <c r="O621" s="45"/>
    </row>
    <row r="622" spans="5:15" x14ac:dyDescent="0.2">
      <c r="E622" s="10"/>
      <c r="F622" s="53"/>
      <c r="G622" s="9"/>
      <c r="J622" s="17"/>
      <c r="K622" s="17"/>
      <c r="N622" s="10"/>
      <c r="O622" s="45"/>
    </row>
    <row r="623" spans="5:15" x14ac:dyDescent="0.2">
      <c r="E623" s="10"/>
      <c r="F623" s="53"/>
      <c r="G623" s="9"/>
      <c r="J623" s="17"/>
      <c r="K623" s="17"/>
      <c r="N623" s="10"/>
      <c r="O623" s="45"/>
    </row>
    <row r="624" spans="5:15" x14ac:dyDescent="0.2">
      <c r="E624" s="10"/>
      <c r="F624" s="53"/>
      <c r="G624" s="9"/>
      <c r="J624" s="17"/>
      <c r="K624" s="17"/>
      <c r="N624" s="10"/>
      <c r="O624" s="45"/>
    </row>
    <row r="625" spans="5:15" x14ac:dyDescent="0.2">
      <c r="E625" s="10"/>
      <c r="F625" s="53"/>
      <c r="G625" s="9"/>
      <c r="J625" s="17"/>
      <c r="K625" s="17"/>
      <c r="N625" s="10"/>
      <c r="O625" s="45"/>
    </row>
    <row r="626" spans="5:15" x14ac:dyDescent="0.2">
      <c r="E626" s="10"/>
      <c r="F626" s="53"/>
      <c r="G626" s="9"/>
      <c r="J626" s="17"/>
      <c r="K626" s="17"/>
      <c r="N626" s="10"/>
      <c r="O626" s="45"/>
    </row>
    <row r="627" spans="5:15" x14ac:dyDescent="0.2">
      <c r="E627" s="10"/>
      <c r="F627" s="53"/>
      <c r="G627" s="9"/>
      <c r="J627" s="17"/>
      <c r="K627" s="17"/>
      <c r="N627" s="10"/>
      <c r="O627" s="45"/>
    </row>
    <row r="628" spans="5:15" x14ac:dyDescent="0.2">
      <c r="E628" s="10"/>
      <c r="F628" s="53"/>
      <c r="G628" s="9"/>
      <c r="J628" s="17"/>
      <c r="K628" s="17"/>
      <c r="N628" s="10"/>
      <c r="O628" s="45"/>
    </row>
    <row r="629" spans="5:15" x14ac:dyDescent="0.2">
      <c r="E629" s="10"/>
      <c r="F629" s="53"/>
      <c r="G629" s="9"/>
      <c r="J629" s="17"/>
      <c r="K629" s="17"/>
      <c r="N629" s="10"/>
      <c r="O629" s="45"/>
    </row>
    <row r="630" spans="5:15" x14ac:dyDescent="0.2">
      <c r="E630" s="10"/>
      <c r="F630" s="53"/>
      <c r="G630" s="9"/>
      <c r="J630" s="17"/>
      <c r="K630" s="17"/>
      <c r="N630" s="10"/>
      <c r="O630" s="45"/>
    </row>
    <row r="631" spans="5:15" x14ac:dyDescent="0.2">
      <c r="E631" s="10"/>
      <c r="F631" s="53"/>
      <c r="G631" s="9"/>
      <c r="J631" s="17"/>
      <c r="K631" s="17"/>
      <c r="N631" s="10"/>
      <c r="O631" s="45"/>
    </row>
    <row r="632" spans="5:15" x14ac:dyDescent="0.2">
      <c r="E632" s="10"/>
      <c r="F632" s="53"/>
      <c r="G632" s="9"/>
      <c r="J632" s="17"/>
      <c r="K632" s="17"/>
      <c r="N632" s="10"/>
      <c r="O632" s="45"/>
    </row>
    <row r="633" spans="5:15" x14ac:dyDescent="0.2">
      <c r="E633" s="10"/>
      <c r="F633" s="53"/>
      <c r="G633" s="9"/>
      <c r="J633" s="17"/>
      <c r="K633" s="17"/>
      <c r="N633" s="10"/>
      <c r="O633" s="45"/>
    </row>
    <row r="634" spans="5:15" x14ac:dyDescent="0.2">
      <c r="E634" s="10"/>
      <c r="F634" s="53"/>
      <c r="G634" s="9"/>
      <c r="J634" s="17"/>
      <c r="K634" s="17"/>
      <c r="N634" s="10"/>
      <c r="O634" s="45"/>
    </row>
    <row r="635" spans="5:15" x14ac:dyDescent="0.2">
      <c r="E635" s="10"/>
      <c r="F635" s="53"/>
      <c r="G635" s="9"/>
      <c r="J635" s="17"/>
      <c r="K635" s="17"/>
      <c r="N635" s="10"/>
      <c r="O635" s="45"/>
    </row>
    <row r="636" spans="5:15" x14ac:dyDescent="0.2">
      <c r="E636" s="10"/>
      <c r="F636" s="53"/>
      <c r="G636" s="9"/>
      <c r="J636" s="17"/>
      <c r="K636" s="17"/>
      <c r="N636" s="10"/>
      <c r="O636" s="45"/>
    </row>
    <row r="637" spans="5:15" x14ac:dyDescent="0.2">
      <c r="E637" s="10"/>
      <c r="F637" s="53"/>
      <c r="G637" s="9"/>
      <c r="J637" s="17"/>
      <c r="K637" s="17"/>
      <c r="N637" s="10"/>
      <c r="O637" s="45"/>
    </row>
    <row r="638" spans="5:15" x14ac:dyDescent="0.2">
      <c r="E638" s="10"/>
      <c r="F638" s="53"/>
      <c r="G638" s="9"/>
      <c r="J638" s="17"/>
      <c r="K638" s="17"/>
      <c r="N638" s="10"/>
      <c r="O638" s="45"/>
    </row>
    <row r="639" spans="5:15" x14ac:dyDescent="0.2">
      <c r="E639" s="10"/>
      <c r="F639" s="53"/>
      <c r="G639" s="9"/>
      <c r="J639" s="17"/>
      <c r="K639" s="17"/>
      <c r="N639" s="10"/>
      <c r="O639" s="45"/>
    </row>
    <row r="640" spans="5:15" x14ac:dyDescent="0.2">
      <c r="E640" s="10"/>
      <c r="F640" s="53"/>
      <c r="G640" s="9"/>
      <c r="J640" s="17"/>
      <c r="K640" s="17"/>
      <c r="N640" s="10"/>
      <c r="O640" s="45"/>
    </row>
    <row r="641" spans="5:15" x14ac:dyDescent="0.2">
      <c r="E641" s="10"/>
      <c r="F641" s="53"/>
      <c r="G641" s="9"/>
      <c r="J641" s="17"/>
      <c r="K641" s="17"/>
      <c r="N641" s="10"/>
      <c r="O641" s="45"/>
    </row>
    <row r="642" spans="5:15" x14ac:dyDescent="0.2">
      <c r="E642" s="10"/>
      <c r="F642" s="53"/>
      <c r="G642" s="9"/>
      <c r="J642" s="17"/>
      <c r="K642" s="17"/>
      <c r="N642" s="10"/>
      <c r="O642" s="45"/>
    </row>
    <row r="643" spans="5:15" x14ac:dyDescent="0.2">
      <c r="E643" s="10"/>
      <c r="F643" s="53"/>
      <c r="G643" s="9"/>
      <c r="J643" s="17"/>
      <c r="K643" s="17"/>
      <c r="N643" s="10"/>
      <c r="O643" s="45"/>
    </row>
    <row r="644" spans="5:15" x14ac:dyDescent="0.2">
      <c r="E644" s="10"/>
      <c r="F644" s="53"/>
      <c r="G644" s="9"/>
      <c r="J644" s="17"/>
      <c r="K644" s="17"/>
      <c r="N644" s="10"/>
      <c r="O644" s="45"/>
    </row>
    <row r="645" spans="5:15" x14ac:dyDescent="0.2">
      <c r="E645" s="10"/>
      <c r="F645" s="53"/>
      <c r="G645" s="9"/>
      <c r="J645" s="17"/>
      <c r="K645" s="17"/>
      <c r="N645" s="10"/>
      <c r="O645" s="45"/>
    </row>
    <row r="646" spans="5:15" x14ac:dyDescent="0.2">
      <c r="E646" s="10"/>
      <c r="F646" s="53"/>
      <c r="G646" s="9"/>
      <c r="J646" s="17"/>
      <c r="K646" s="17"/>
      <c r="N646" s="10"/>
      <c r="O646" s="45"/>
    </row>
    <row r="647" spans="5:15" x14ac:dyDescent="0.2">
      <c r="E647" s="10"/>
      <c r="F647" s="53"/>
      <c r="G647" s="9"/>
      <c r="J647" s="17"/>
      <c r="K647" s="17"/>
      <c r="N647" s="10"/>
      <c r="O647" s="45"/>
    </row>
    <row r="648" spans="5:15" x14ac:dyDescent="0.2">
      <c r="E648" s="10"/>
      <c r="F648" s="53"/>
      <c r="G648" s="9"/>
      <c r="J648" s="17"/>
      <c r="K648" s="17"/>
      <c r="N648" s="10"/>
      <c r="O648" s="45"/>
    </row>
    <row r="649" spans="5:15" x14ac:dyDescent="0.2">
      <c r="E649" s="10"/>
      <c r="F649" s="53"/>
      <c r="G649" s="9"/>
      <c r="J649" s="17"/>
      <c r="K649" s="17"/>
      <c r="N649" s="10"/>
      <c r="O649" s="45"/>
    </row>
    <row r="650" spans="5:15" x14ac:dyDescent="0.2">
      <c r="E650" s="10"/>
      <c r="F650" s="53"/>
      <c r="G650" s="9"/>
      <c r="J650" s="17"/>
      <c r="K650" s="17"/>
      <c r="N650" s="10"/>
      <c r="O650" s="45"/>
    </row>
    <row r="651" spans="5:15" x14ac:dyDescent="0.2">
      <c r="E651" s="10"/>
      <c r="F651" s="53"/>
      <c r="G651" s="9"/>
      <c r="J651" s="17"/>
      <c r="K651" s="17"/>
      <c r="N651" s="10"/>
      <c r="O651" s="45"/>
    </row>
    <row r="652" spans="5:15" x14ac:dyDescent="0.2">
      <c r="E652" s="10"/>
      <c r="F652" s="53"/>
      <c r="G652" s="9"/>
      <c r="J652" s="17"/>
      <c r="K652" s="17"/>
      <c r="N652" s="10"/>
      <c r="O652" s="45"/>
    </row>
    <row r="653" spans="5:15" x14ac:dyDescent="0.2">
      <c r="E653" s="10"/>
      <c r="F653" s="53"/>
      <c r="G653" s="9"/>
      <c r="J653" s="17"/>
      <c r="K653" s="17"/>
      <c r="N653" s="10"/>
      <c r="O653" s="45"/>
    </row>
    <row r="654" spans="5:15" x14ac:dyDescent="0.2">
      <c r="E654" s="10"/>
      <c r="F654" s="53"/>
      <c r="G654" s="9"/>
      <c r="J654" s="17"/>
      <c r="K654" s="17"/>
      <c r="N654" s="10"/>
      <c r="O654" s="45"/>
    </row>
    <row r="655" spans="5:15" x14ac:dyDescent="0.2">
      <c r="E655" s="10"/>
      <c r="F655" s="53"/>
      <c r="G655" s="9"/>
      <c r="J655" s="17"/>
      <c r="K655" s="17"/>
      <c r="N655" s="10"/>
      <c r="O655" s="45"/>
    </row>
    <row r="656" spans="5:15" x14ac:dyDescent="0.2">
      <c r="E656" s="10"/>
      <c r="F656" s="53"/>
      <c r="G656" s="9"/>
      <c r="J656" s="17"/>
      <c r="K656" s="17"/>
      <c r="N656" s="10"/>
      <c r="O656" s="45"/>
    </row>
    <row r="657" spans="5:15" x14ac:dyDescent="0.2">
      <c r="E657" s="10"/>
      <c r="F657" s="53"/>
      <c r="G657" s="9"/>
      <c r="J657" s="17"/>
      <c r="K657" s="17"/>
      <c r="N657" s="10"/>
      <c r="O657" s="45"/>
    </row>
    <row r="658" spans="5:15" x14ac:dyDescent="0.2">
      <c r="E658" s="10"/>
      <c r="F658" s="53"/>
      <c r="G658" s="9"/>
      <c r="J658" s="17"/>
      <c r="K658" s="17"/>
      <c r="N658" s="10"/>
      <c r="O658" s="45"/>
    </row>
    <row r="659" spans="5:15" x14ac:dyDescent="0.2">
      <c r="E659" s="10"/>
      <c r="F659" s="53"/>
      <c r="G659" s="9"/>
      <c r="J659" s="17"/>
      <c r="K659" s="17"/>
      <c r="N659" s="10"/>
      <c r="O659" s="45"/>
    </row>
    <row r="660" spans="5:15" x14ac:dyDescent="0.2">
      <c r="E660" s="10"/>
      <c r="F660" s="53"/>
      <c r="G660" s="9"/>
      <c r="J660" s="17"/>
      <c r="K660" s="17"/>
      <c r="N660" s="10"/>
      <c r="O660" s="45"/>
    </row>
    <row r="661" spans="5:15" x14ac:dyDescent="0.2">
      <c r="E661" s="10"/>
      <c r="F661" s="53"/>
      <c r="G661" s="9"/>
      <c r="J661" s="17"/>
      <c r="K661" s="17"/>
      <c r="N661" s="10"/>
      <c r="O661" s="45"/>
    </row>
    <row r="662" spans="5:15" x14ac:dyDescent="0.2">
      <c r="E662" s="10"/>
      <c r="F662" s="53"/>
      <c r="G662" s="9"/>
      <c r="J662" s="17"/>
      <c r="K662" s="17"/>
      <c r="N662" s="10"/>
      <c r="O662" s="45"/>
    </row>
    <row r="663" spans="5:15" x14ac:dyDescent="0.2">
      <c r="E663" s="10"/>
      <c r="F663" s="53"/>
      <c r="G663" s="9"/>
      <c r="J663" s="17"/>
      <c r="K663" s="17"/>
      <c r="N663" s="10"/>
      <c r="O663" s="45"/>
    </row>
    <row r="664" spans="5:15" x14ac:dyDescent="0.2">
      <c r="E664" s="10"/>
      <c r="F664" s="53"/>
      <c r="G664" s="9"/>
      <c r="J664" s="17"/>
      <c r="K664" s="17"/>
      <c r="N664" s="10"/>
      <c r="O664" s="45"/>
    </row>
    <row r="665" spans="5:15" x14ac:dyDescent="0.2">
      <c r="E665" s="10"/>
      <c r="F665" s="53"/>
      <c r="G665" s="9"/>
      <c r="J665" s="17"/>
      <c r="K665" s="17"/>
      <c r="N665" s="10"/>
      <c r="O665" s="45"/>
    </row>
    <row r="666" spans="5:15" x14ac:dyDescent="0.2">
      <c r="E666" s="10"/>
      <c r="F666" s="53"/>
      <c r="G666" s="9"/>
      <c r="J666" s="17"/>
      <c r="K666" s="17"/>
      <c r="N666" s="10"/>
      <c r="O666" s="45"/>
    </row>
    <row r="667" spans="5:15" x14ac:dyDescent="0.2">
      <c r="E667" s="10"/>
      <c r="F667" s="53"/>
      <c r="G667" s="9"/>
      <c r="J667" s="17"/>
      <c r="K667" s="17"/>
      <c r="N667" s="10"/>
      <c r="O667" s="45"/>
    </row>
    <row r="668" spans="5:15" x14ac:dyDescent="0.2">
      <c r="J668" s="17"/>
      <c r="K668" s="17"/>
    </row>
    <row r="669" spans="5:15" ht="12.75" x14ac:dyDescent="0.2">
      <c r="E669" s="54"/>
      <c r="F669" s="55"/>
      <c r="G669" s="56">
        <f>SUM(G10:G668)</f>
        <v>0</v>
      </c>
      <c r="N669" s="54"/>
      <c r="O669" s="55"/>
    </row>
  </sheetData>
  <mergeCells count="5">
    <mergeCell ref="I3:K3"/>
    <mergeCell ref="M3:M4"/>
    <mergeCell ref="B3:B4"/>
    <mergeCell ref="C3:C4"/>
    <mergeCell ref="E3:G3"/>
  </mergeCells>
  <dataValidations count="2">
    <dataValidation type="list" allowBlank="1" showInputMessage="1" showErrorMessage="1" sqref="M11:M13 L18:L666 M49:M666 L15:M16 L10:L14" xr:uid="{1042F1C4-C5DF-4933-BF5A-DD7D3A200C56}">
      <formula1>Taxes</formula1>
    </dataValidation>
    <dataValidation type="list" allowBlank="1" showInputMessage="1" showErrorMessage="1" sqref="B10:C667" xr:uid="{BA67A942-714A-4F24-B371-FC7AC61CE1F3}">
      <formula1>Compadjust</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19CF3-B517-4A7D-93F0-1C0D1F33FA89}">
  <dimension ref="A1:N640"/>
  <sheetViews>
    <sheetView showGridLines="0" zoomScale="85" zoomScaleNormal="85" workbookViewId="0">
      <selection activeCell="B10" sqref="B10"/>
    </sheetView>
  </sheetViews>
  <sheetFormatPr defaultColWidth="11.56640625" defaultRowHeight="10.5" x14ac:dyDescent="0.2"/>
  <cols>
    <col min="1" max="1" width="3.62890625" style="17" bestFit="1" customWidth="1"/>
    <col min="2" max="2" width="22.05859375" style="13" bestFit="1" customWidth="1"/>
    <col min="3" max="3" width="9.14453125" style="13" bestFit="1" customWidth="1"/>
    <col min="4" max="4" width="0.94140625" style="13" customWidth="1"/>
    <col min="5" max="5" width="16.6796875" style="13" bestFit="1" customWidth="1"/>
    <col min="6" max="6" width="12.64453125" style="10" customWidth="1"/>
    <col min="7" max="7" width="17.3515625" style="13" bestFit="1" customWidth="1"/>
    <col min="8" max="8" width="0.94140625" style="13" customWidth="1"/>
    <col min="9" max="9" width="16.6796875" style="13" bestFit="1" customWidth="1"/>
    <col min="10" max="10" width="14.125" style="13" customWidth="1"/>
    <col min="11" max="11" width="16.6796875" style="13" bestFit="1" customWidth="1"/>
    <col min="12" max="12" width="0.94140625" style="13" customWidth="1"/>
    <col min="13" max="13" width="16.6796875" style="13" bestFit="1" customWidth="1"/>
    <col min="14" max="14" width="8.609375" style="13" customWidth="1"/>
    <col min="15" max="16384" width="11.56640625" style="13"/>
  </cols>
  <sheetData>
    <row r="1" spans="1:14" ht="28.5" x14ac:dyDescent="0.1">
      <c r="B1" s="12" t="s">
        <v>3380</v>
      </c>
      <c r="C1" s="12"/>
      <c r="E1" s="14" t="s">
        <v>40</v>
      </c>
      <c r="F1" s="12" t="s">
        <v>3381</v>
      </c>
      <c r="G1" s="15">
        <v>138924204</v>
      </c>
      <c r="J1" s="12" t="s">
        <v>3382</v>
      </c>
      <c r="K1" s="16">
        <v>2021</v>
      </c>
    </row>
    <row r="2" spans="1:14" x14ac:dyDescent="0.2">
      <c r="B2" s="15"/>
      <c r="C2" s="15"/>
      <c r="F2" s="13"/>
      <c r="J2" s="61"/>
      <c r="M2" s="22"/>
    </row>
    <row r="3" spans="1:14" ht="13.5" customHeight="1" x14ac:dyDescent="0.2">
      <c r="B3" s="427" t="s">
        <v>3383</v>
      </c>
      <c r="C3" s="427" t="s">
        <v>3384</v>
      </c>
      <c r="E3" s="425" t="s">
        <v>3385</v>
      </c>
      <c r="F3" s="426"/>
      <c r="G3" s="427"/>
      <c r="I3" s="425" t="s">
        <v>3386</v>
      </c>
      <c r="J3" s="426"/>
      <c r="K3" s="427"/>
      <c r="M3" s="426" t="s">
        <v>3387</v>
      </c>
    </row>
    <row r="4" spans="1:14" ht="11.25" thickBot="1" x14ac:dyDescent="0.25">
      <c r="B4" s="430"/>
      <c r="C4" s="430"/>
      <c r="E4" s="18" t="s">
        <v>3388</v>
      </c>
      <c r="F4" s="19" t="s">
        <v>3389</v>
      </c>
      <c r="G4" s="27" t="s">
        <v>3390</v>
      </c>
      <c r="I4" s="18" t="s">
        <v>3388</v>
      </c>
      <c r="J4" s="19" t="s">
        <v>3389</v>
      </c>
      <c r="K4" s="27" t="s">
        <v>3390</v>
      </c>
      <c r="M4" s="428"/>
    </row>
    <row r="5" spans="1:14" ht="12.75" customHeight="1" x14ac:dyDescent="0.2">
      <c r="B5" s="193" t="s">
        <v>3395</v>
      </c>
      <c r="C5" s="24"/>
      <c r="E5" s="25">
        <f>SUM(E6:E6)</f>
        <v>1062695143</v>
      </c>
      <c r="F5" s="25">
        <f>SUM(F6:F6)</f>
        <v>0</v>
      </c>
      <c r="G5" s="25">
        <f>SUM(G6:G6)</f>
        <v>1062695143</v>
      </c>
      <c r="I5" s="25">
        <f>SUM(I6:I6)</f>
        <v>1062695143</v>
      </c>
      <c r="J5" s="25">
        <f>SUM(J6:J6)</f>
        <v>0</v>
      </c>
      <c r="K5" s="25">
        <f>SUM(K6:K6)</f>
        <v>1062695143</v>
      </c>
      <c r="M5" s="25">
        <f>G5-K5</f>
        <v>0</v>
      </c>
      <c r="N5" s="26"/>
    </row>
    <row r="6" spans="1:14" x14ac:dyDescent="0.2">
      <c r="A6" s="17" t="s">
        <v>3396</v>
      </c>
      <c r="B6" s="17" t="s">
        <v>3397</v>
      </c>
      <c r="C6" s="17" t="s">
        <v>3398</v>
      </c>
      <c r="E6" s="9">
        <v>1062695143</v>
      </c>
      <c r="F6" s="9">
        <v>0</v>
      </c>
      <c r="G6" s="9">
        <v>1062695143</v>
      </c>
      <c r="I6" s="9">
        <v>1062695143</v>
      </c>
      <c r="J6" s="9">
        <v>0</v>
      </c>
      <c r="K6" s="9">
        <v>1062695143</v>
      </c>
      <c r="M6" s="9">
        <f>G6-K6</f>
        <v>0</v>
      </c>
      <c r="N6" s="26" t="str">
        <f>IF(M6=0,"",IF(#REF!=0,"ERROR",""))</f>
        <v/>
      </c>
    </row>
    <row r="7" spans="1:14" x14ac:dyDescent="0.2">
      <c r="B7" s="33" t="s">
        <v>3399</v>
      </c>
      <c r="C7" s="33"/>
      <c r="E7" s="34">
        <f>E5</f>
        <v>1062695143</v>
      </c>
      <c r="F7" s="34">
        <f t="shared" ref="F7:G7" si="0">F5</f>
        <v>0</v>
      </c>
      <c r="G7" s="34">
        <f t="shared" si="0"/>
        <v>1062695143</v>
      </c>
      <c r="H7" s="21"/>
      <c r="I7" s="34">
        <f t="shared" ref="I7:K7" si="1">I5</f>
        <v>1062695143</v>
      </c>
      <c r="J7" s="34">
        <f t="shared" si="1"/>
        <v>0</v>
      </c>
      <c r="K7" s="34">
        <f t="shared" si="1"/>
        <v>1062695143</v>
      </c>
      <c r="L7" s="21"/>
      <c r="M7" s="34">
        <f t="shared" ref="M7" si="2">M5</f>
        <v>0</v>
      </c>
    </row>
    <row r="8" spans="1:14" x14ac:dyDescent="0.2">
      <c r="B8" s="15"/>
      <c r="C8" s="15"/>
      <c r="F8" s="32"/>
      <c r="G8" s="32"/>
      <c r="I8" s="32"/>
      <c r="J8" s="32"/>
      <c r="K8" s="32"/>
      <c r="M8" s="32"/>
    </row>
    <row r="9" spans="1:14" x14ac:dyDescent="0.1">
      <c r="E9" s="30"/>
      <c r="F9" s="42"/>
      <c r="G9" s="52"/>
      <c r="J9" s="17"/>
      <c r="K9" s="17"/>
      <c r="N9" s="10"/>
    </row>
    <row r="10" spans="1:14" ht="12.75" x14ac:dyDescent="0.1">
      <c r="B10" s="363" t="s">
        <v>3409</v>
      </c>
      <c r="E10" s="30"/>
      <c r="F10" s="42"/>
      <c r="G10" s="52"/>
      <c r="J10" s="17"/>
      <c r="K10" s="17"/>
      <c r="N10" s="10"/>
    </row>
    <row r="11" spans="1:14" x14ac:dyDescent="0.1">
      <c r="E11" s="30"/>
      <c r="F11" s="42"/>
      <c r="G11" s="52"/>
      <c r="J11" s="17"/>
      <c r="K11" s="17"/>
      <c r="N11" s="10"/>
    </row>
    <row r="12" spans="1:14" x14ac:dyDescent="0.1">
      <c r="E12" s="30"/>
      <c r="F12" s="42"/>
      <c r="G12" s="52"/>
      <c r="J12" s="17"/>
      <c r="K12" s="17"/>
      <c r="N12" s="10"/>
    </row>
    <row r="13" spans="1:14" x14ac:dyDescent="0.1">
      <c r="E13" s="30"/>
      <c r="F13" s="42"/>
      <c r="G13" s="52"/>
      <c r="J13" s="17"/>
      <c r="K13" s="17"/>
      <c r="N13" s="10"/>
    </row>
    <row r="14" spans="1:14" x14ac:dyDescent="0.1">
      <c r="E14" s="30"/>
      <c r="F14" s="42"/>
      <c r="G14" s="52"/>
      <c r="J14" s="17"/>
      <c r="K14" s="17"/>
      <c r="N14" s="10"/>
    </row>
    <row r="15" spans="1:14" x14ac:dyDescent="0.1">
      <c r="E15" s="30"/>
      <c r="F15" s="42"/>
      <c r="G15" s="52"/>
      <c r="J15" s="17"/>
      <c r="K15" s="17"/>
      <c r="N15" s="10"/>
    </row>
    <row r="16" spans="1:14" x14ac:dyDescent="0.1">
      <c r="E16" s="30"/>
      <c r="F16" s="42"/>
      <c r="G16" s="52"/>
      <c r="J16" s="17"/>
      <c r="K16" s="17"/>
      <c r="N16" s="10"/>
    </row>
    <row r="17" spans="5:14" x14ac:dyDescent="0.1">
      <c r="E17" s="30"/>
      <c r="F17" s="42"/>
      <c r="G17" s="52"/>
      <c r="J17" s="17"/>
      <c r="K17" s="17"/>
      <c r="N17" s="10"/>
    </row>
    <row r="18" spans="5:14" x14ac:dyDescent="0.1">
      <c r="E18" s="30"/>
      <c r="F18" s="42"/>
      <c r="G18" s="52"/>
      <c r="J18" s="17"/>
      <c r="K18" s="17"/>
      <c r="N18" s="10"/>
    </row>
    <row r="19" spans="5:14" x14ac:dyDescent="0.1">
      <c r="E19" s="30"/>
      <c r="F19" s="42"/>
      <c r="G19" s="52"/>
      <c r="J19" s="17"/>
      <c r="K19" s="17"/>
      <c r="N19" s="10"/>
    </row>
    <row r="20" spans="5:14" x14ac:dyDescent="0.1">
      <c r="E20" s="30"/>
      <c r="F20" s="42"/>
      <c r="G20" s="52"/>
      <c r="J20" s="17"/>
      <c r="K20" s="17"/>
      <c r="N20" s="10"/>
    </row>
    <row r="21" spans="5:14" x14ac:dyDescent="0.1">
      <c r="E21" s="30"/>
      <c r="F21" s="42"/>
      <c r="G21" s="52"/>
      <c r="J21" s="17"/>
      <c r="K21" s="17"/>
      <c r="N21" s="10"/>
    </row>
    <row r="22" spans="5:14" x14ac:dyDescent="0.1">
      <c r="E22" s="30"/>
      <c r="F22" s="42"/>
      <c r="G22" s="52"/>
      <c r="J22" s="17"/>
      <c r="K22" s="17"/>
      <c r="N22" s="10"/>
    </row>
    <row r="23" spans="5:14" x14ac:dyDescent="0.1">
      <c r="E23" s="30"/>
      <c r="F23" s="42"/>
      <c r="G23" s="52"/>
      <c r="J23" s="17"/>
      <c r="K23" s="17"/>
      <c r="N23" s="10"/>
    </row>
    <row r="24" spans="5:14" x14ac:dyDescent="0.1">
      <c r="E24" s="30"/>
      <c r="F24" s="42"/>
      <c r="G24" s="52"/>
      <c r="J24" s="17"/>
      <c r="K24" s="17"/>
      <c r="N24" s="10"/>
    </row>
    <row r="25" spans="5:14" x14ac:dyDescent="0.1">
      <c r="E25" s="30"/>
      <c r="F25" s="42"/>
      <c r="G25" s="52"/>
      <c r="J25" s="17"/>
      <c r="K25" s="17"/>
      <c r="N25" s="10"/>
    </row>
    <row r="26" spans="5:14" x14ac:dyDescent="0.1">
      <c r="E26" s="30"/>
      <c r="F26" s="42"/>
      <c r="G26" s="52"/>
      <c r="J26" s="17"/>
      <c r="K26" s="17"/>
      <c r="N26" s="10"/>
    </row>
    <row r="27" spans="5:14" x14ac:dyDescent="0.1">
      <c r="E27" s="30"/>
      <c r="F27" s="42"/>
      <c r="G27" s="52"/>
      <c r="J27" s="17"/>
      <c r="K27" s="17"/>
      <c r="N27" s="10"/>
    </row>
    <row r="28" spans="5:14" x14ac:dyDescent="0.1">
      <c r="E28" s="30"/>
      <c r="F28" s="42"/>
      <c r="G28" s="52"/>
      <c r="J28" s="17"/>
      <c r="K28" s="17"/>
      <c r="N28" s="10"/>
    </row>
    <row r="29" spans="5:14" x14ac:dyDescent="0.1">
      <c r="E29" s="30"/>
      <c r="F29" s="42"/>
      <c r="G29" s="52"/>
      <c r="J29" s="17"/>
      <c r="K29" s="17"/>
      <c r="N29" s="10"/>
    </row>
    <row r="30" spans="5:14" x14ac:dyDescent="0.1">
      <c r="E30" s="30"/>
      <c r="F30" s="42"/>
      <c r="G30" s="52"/>
      <c r="J30" s="17"/>
      <c r="K30" s="17"/>
      <c r="N30" s="10"/>
    </row>
    <row r="31" spans="5:14" x14ac:dyDescent="0.1">
      <c r="E31" s="30"/>
      <c r="F31" s="42"/>
      <c r="G31" s="52"/>
      <c r="J31" s="17"/>
      <c r="K31" s="17"/>
      <c r="N31" s="10"/>
    </row>
    <row r="32" spans="5:14" x14ac:dyDescent="0.1">
      <c r="E32" s="30"/>
      <c r="F32" s="42"/>
      <c r="G32" s="52"/>
      <c r="J32" s="17"/>
      <c r="K32" s="17"/>
      <c r="N32" s="10"/>
    </row>
    <row r="33" spans="5:14" x14ac:dyDescent="0.1">
      <c r="E33" s="30"/>
      <c r="F33" s="42"/>
      <c r="G33" s="52"/>
      <c r="J33" s="17"/>
      <c r="K33" s="17"/>
      <c r="N33" s="10"/>
    </row>
    <row r="34" spans="5:14" x14ac:dyDescent="0.1">
      <c r="E34" s="30"/>
      <c r="F34" s="42"/>
      <c r="G34" s="52"/>
      <c r="J34" s="17"/>
      <c r="K34" s="17"/>
      <c r="N34" s="10"/>
    </row>
    <row r="35" spans="5:14" x14ac:dyDescent="0.1">
      <c r="E35" s="30"/>
      <c r="F35" s="42"/>
      <c r="G35" s="52"/>
      <c r="J35" s="17"/>
      <c r="K35" s="17"/>
      <c r="N35" s="10"/>
    </row>
    <row r="36" spans="5:14" x14ac:dyDescent="0.1">
      <c r="E36" s="30"/>
      <c r="F36" s="42"/>
      <c r="G36" s="52"/>
      <c r="J36" s="17"/>
      <c r="K36" s="17"/>
      <c r="N36" s="10"/>
    </row>
    <row r="37" spans="5:14" x14ac:dyDescent="0.1">
      <c r="E37" s="30"/>
      <c r="F37" s="42"/>
      <c r="G37" s="52"/>
      <c r="J37" s="17"/>
      <c r="K37" s="17"/>
      <c r="N37" s="10"/>
    </row>
    <row r="38" spans="5:14" x14ac:dyDescent="0.1">
      <c r="E38" s="30"/>
      <c r="F38" s="42"/>
      <c r="G38" s="52"/>
      <c r="J38" s="17"/>
      <c r="K38" s="17"/>
      <c r="N38" s="10"/>
    </row>
    <row r="39" spans="5:14" x14ac:dyDescent="0.1">
      <c r="E39" s="30"/>
      <c r="F39" s="42"/>
      <c r="G39" s="52"/>
      <c r="J39" s="17"/>
      <c r="K39" s="17"/>
      <c r="N39" s="10"/>
    </row>
    <row r="40" spans="5:14" x14ac:dyDescent="0.1">
      <c r="E40" s="30"/>
      <c r="F40" s="42"/>
      <c r="G40" s="52"/>
      <c r="J40" s="17"/>
      <c r="K40" s="17"/>
      <c r="N40" s="10"/>
    </row>
    <row r="41" spans="5:14" x14ac:dyDescent="0.1">
      <c r="E41" s="30"/>
      <c r="F41" s="42"/>
      <c r="G41" s="52"/>
      <c r="J41" s="17"/>
      <c r="K41" s="17"/>
      <c r="N41" s="10"/>
    </row>
    <row r="42" spans="5:14" x14ac:dyDescent="0.1">
      <c r="E42" s="30"/>
      <c r="F42" s="42"/>
      <c r="G42" s="52"/>
      <c r="J42" s="17"/>
      <c r="K42" s="17"/>
      <c r="N42" s="10"/>
    </row>
    <row r="43" spans="5:14" x14ac:dyDescent="0.1">
      <c r="E43" s="30"/>
      <c r="F43" s="42"/>
      <c r="G43" s="52"/>
      <c r="J43" s="17"/>
      <c r="K43" s="17"/>
      <c r="N43" s="10"/>
    </row>
    <row r="44" spans="5:14" x14ac:dyDescent="0.1">
      <c r="E44" s="30"/>
      <c r="F44" s="42"/>
      <c r="G44" s="52"/>
      <c r="J44" s="17"/>
      <c r="K44" s="17"/>
      <c r="N44" s="10"/>
    </row>
    <row r="45" spans="5:14" x14ac:dyDescent="0.1">
      <c r="E45" s="30"/>
      <c r="F45" s="42"/>
      <c r="G45" s="52"/>
      <c r="J45" s="17"/>
      <c r="K45" s="17"/>
      <c r="N45" s="10"/>
    </row>
    <row r="46" spans="5:14" x14ac:dyDescent="0.1">
      <c r="E46" s="30"/>
      <c r="F46" s="42"/>
      <c r="G46" s="52"/>
      <c r="J46" s="17"/>
      <c r="K46" s="17"/>
      <c r="N46" s="10"/>
    </row>
    <row r="47" spans="5:14" x14ac:dyDescent="0.1">
      <c r="E47" s="30"/>
      <c r="F47" s="42"/>
      <c r="G47" s="52"/>
      <c r="J47" s="17"/>
      <c r="K47" s="17"/>
      <c r="N47" s="10"/>
    </row>
    <row r="48" spans="5:14" x14ac:dyDescent="0.1">
      <c r="E48" s="30"/>
      <c r="F48" s="42"/>
      <c r="G48" s="52"/>
      <c r="J48" s="17"/>
      <c r="K48" s="17"/>
      <c r="N48" s="10"/>
    </row>
    <row r="49" spans="5:14" x14ac:dyDescent="0.1">
      <c r="E49" s="30"/>
      <c r="F49" s="42"/>
      <c r="G49" s="52"/>
      <c r="J49" s="17"/>
      <c r="K49" s="17"/>
      <c r="N49" s="10"/>
    </row>
    <row r="50" spans="5:14" x14ac:dyDescent="0.1">
      <c r="E50" s="30"/>
      <c r="F50" s="42"/>
      <c r="G50" s="52"/>
      <c r="J50" s="17"/>
      <c r="K50" s="17"/>
      <c r="N50" s="10"/>
    </row>
    <row r="51" spans="5:14" x14ac:dyDescent="0.1">
      <c r="E51" s="30"/>
      <c r="F51" s="42"/>
      <c r="G51" s="52"/>
      <c r="J51" s="17"/>
      <c r="K51" s="17"/>
      <c r="N51" s="10"/>
    </row>
    <row r="52" spans="5:14" x14ac:dyDescent="0.1">
      <c r="E52" s="30"/>
      <c r="F52" s="42"/>
      <c r="G52" s="52"/>
      <c r="J52" s="17"/>
      <c r="K52" s="17"/>
      <c r="N52" s="10"/>
    </row>
    <row r="53" spans="5:14" x14ac:dyDescent="0.1">
      <c r="E53" s="30"/>
      <c r="F53" s="42"/>
      <c r="G53" s="52"/>
      <c r="J53" s="17"/>
      <c r="K53" s="17"/>
      <c r="N53" s="10"/>
    </row>
    <row r="54" spans="5:14" x14ac:dyDescent="0.1">
      <c r="E54" s="30"/>
      <c r="F54" s="42"/>
      <c r="G54" s="52"/>
      <c r="J54" s="17"/>
      <c r="K54" s="17"/>
      <c r="N54" s="10"/>
    </row>
    <row r="55" spans="5:14" x14ac:dyDescent="0.1">
      <c r="E55" s="30"/>
      <c r="F55" s="42"/>
      <c r="G55" s="52"/>
      <c r="J55" s="17"/>
      <c r="K55" s="17"/>
      <c r="N55" s="10"/>
    </row>
    <row r="56" spans="5:14" x14ac:dyDescent="0.1">
      <c r="E56" s="30"/>
      <c r="F56" s="42"/>
      <c r="G56" s="52"/>
      <c r="J56" s="17"/>
      <c r="K56" s="17"/>
      <c r="N56" s="10"/>
    </row>
    <row r="57" spans="5:14" x14ac:dyDescent="0.1">
      <c r="E57" s="30"/>
      <c r="F57" s="42"/>
      <c r="G57" s="52"/>
      <c r="J57" s="17"/>
      <c r="K57" s="17"/>
      <c r="N57" s="10"/>
    </row>
    <row r="58" spans="5:14" x14ac:dyDescent="0.1">
      <c r="E58" s="30"/>
      <c r="F58" s="42"/>
      <c r="G58" s="52"/>
      <c r="J58" s="17"/>
      <c r="K58" s="17"/>
      <c r="N58" s="10"/>
    </row>
    <row r="59" spans="5:14" x14ac:dyDescent="0.1">
      <c r="E59" s="30"/>
      <c r="F59" s="42"/>
      <c r="G59" s="52"/>
      <c r="J59" s="17"/>
      <c r="K59" s="17"/>
      <c r="N59" s="10"/>
    </row>
    <row r="60" spans="5:14" x14ac:dyDescent="0.1">
      <c r="E60" s="30"/>
      <c r="F60" s="42"/>
      <c r="G60" s="52"/>
      <c r="J60" s="17"/>
      <c r="K60" s="17"/>
      <c r="N60" s="10"/>
    </row>
    <row r="61" spans="5:14" x14ac:dyDescent="0.1">
      <c r="E61" s="30"/>
      <c r="F61" s="42"/>
      <c r="G61" s="52"/>
      <c r="J61" s="17"/>
      <c r="K61" s="17"/>
      <c r="N61" s="10"/>
    </row>
    <row r="62" spans="5:14" x14ac:dyDescent="0.1">
      <c r="E62" s="30"/>
      <c r="F62" s="42"/>
      <c r="G62" s="52"/>
      <c r="J62" s="17"/>
      <c r="K62" s="17"/>
      <c r="N62" s="10"/>
    </row>
    <row r="63" spans="5:14" x14ac:dyDescent="0.1">
      <c r="E63" s="30"/>
      <c r="F63" s="42"/>
      <c r="G63" s="52"/>
      <c r="J63" s="17"/>
      <c r="K63" s="17"/>
      <c r="N63" s="10"/>
    </row>
    <row r="64" spans="5:14" x14ac:dyDescent="0.1">
      <c r="E64" s="30"/>
      <c r="F64" s="42"/>
      <c r="G64" s="52"/>
      <c r="J64" s="17"/>
      <c r="K64" s="17"/>
      <c r="N64" s="10"/>
    </row>
    <row r="65" spans="5:14" x14ac:dyDescent="0.1">
      <c r="E65" s="30"/>
      <c r="F65" s="42"/>
      <c r="G65" s="52"/>
      <c r="J65" s="17"/>
      <c r="K65" s="17"/>
      <c r="N65" s="10"/>
    </row>
    <row r="66" spans="5:14" x14ac:dyDescent="0.1">
      <c r="E66" s="30"/>
      <c r="F66" s="42"/>
      <c r="G66" s="52"/>
      <c r="J66" s="17"/>
      <c r="K66" s="17"/>
      <c r="N66" s="10"/>
    </row>
    <row r="67" spans="5:14" x14ac:dyDescent="0.1">
      <c r="E67" s="30"/>
      <c r="F67" s="42"/>
      <c r="G67" s="52"/>
      <c r="J67" s="17"/>
      <c r="K67" s="17"/>
      <c r="N67" s="10"/>
    </row>
    <row r="68" spans="5:14" x14ac:dyDescent="0.1">
      <c r="E68" s="30"/>
      <c r="F68" s="42"/>
      <c r="G68" s="52"/>
      <c r="J68" s="17"/>
      <c r="K68" s="17"/>
      <c r="N68" s="10"/>
    </row>
    <row r="69" spans="5:14" x14ac:dyDescent="0.1">
      <c r="E69" s="30"/>
      <c r="F69" s="42"/>
      <c r="G69" s="52"/>
      <c r="J69" s="17"/>
      <c r="K69" s="17"/>
      <c r="N69" s="10"/>
    </row>
    <row r="70" spans="5:14" x14ac:dyDescent="0.1">
      <c r="E70" s="30"/>
      <c r="F70" s="42"/>
      <c r="G70" s="52"/>
      <c r="J70" s="17"/>
      <c r="K70" s="17"/>
      <c r="N70" s="10"/>
    </row>
    <row r="71" spans="5:14" x14ac:dyDescent="0.1">
      <c r="E71" s="30"/>
      <c r="F71" s="42"/>
      <c r="G71" s="52"/>
      <c r="J71" s="17"/>
      <c r="K71" s="17"/>
      <c r="N71" s="10"/>
    </row>
    <row r="72" spans="5:14" x14ac:dyDescent="0.1">
      <c r="E72" s="30"/>
      <c r="F72" s="42"/>
      <c r="G72" s="52"/>
      <c r="J72" s="17"/>
      <c r="K72" s="17"/>
      <c r="N72" s="10"/>
    </row>
    <row r="73" spans="5:14" x14ac:dyDescent="0.1">
      <c r="E73" s="30"/>
      <c r="F73" s="42"/>
      <c r="G73" s="52"/>
      <c r="J73" s="17"/>
      <c r="K73" s="17"/>
      <c r="N73" s="10"/>
    </row>
    <row r="74" spans="5:14" x14ac:dyDescent="0.1">
      <c r="E74" s="30"/>
      <c r="F74" s="42"/>
      <c r="G74" s="52"/>
      <c r="J74" s="17"/>
      <c r="K74" s="17"/>
      <c r="N74" s="10"/>
    </row>
    <row r="75" spans="5:14" x14ac:dyDescent="0.1">
      <c r="E75" s="30"/>
      <c r="F75" s="42"/>
      <c r="G75" s="52"/>
      <c r="J75" s="17"/>
      <c r="K75" s="17"/>
      <c r="N75" s="10"/>
    </row>
    <row r="76" spans="5:14" x14ac:dyDescent="0.2">
      <c r="E76" s="10"/>
      <c r="F76" s="53"/>
      <c r="G76" s="35"/>
      <c r="J76" s="17"/>
      <c r="K76" s="17"/>
      <c r="N76" s="10"/>
    </row>
    <row r="77" spans="5:14" x14ac:dyDescent="0.2">
      <c r="E77" s="10"/>
      <c r="F77" s="53"/>
      <c r="G77" s="35"/>
      <c r="J77" s="17"/>
      <c r="K77" s="17"/>
      <c r="N77" s="10"/>
    </row>
    <row r="78" spans="5:14" x14ac:dyDescent="0.2">
      <c r="E78" s="10"/>
      <c r="F78" s="53"/>
      <c r="G78" s="35"/>
      <c r="J78" s="17"/>
      <c r="K78" s="17"/>
      <c r="N78" s="10"/>
    </row>
    <row r="79" spans="5:14" x14ac:dyDescent="0.2">
      <c r="E79" s="10"/>
      <c r="F79" s="53"/>
      <c r="G79" s="35"/>
      <c r="J79" s="17"/>
      <c r="K79" s="17"/>
      <c r="N79" s="10"/>
    </row>
    <row r="80" spans="5:14" x14ac:dyDescent="0.2">
      <c r="E80" s="10"/>
      <c r="F80" s="53"/>
      <c r="G80" s="35"/>
      <c r="J80" s="17"/>
      <c r="K80" s="17"/>
      <c r="N80" s="10"/>
    </row>
    <row r="81" spans="5:14" x14ac:dyDescent="0.2">
      <c r="E81" s="10"/>
      <c r="F81" s="53"/>
      <c r="G81" s="35"/>
      <c r="J81" s="17"/>
      <c r="K81" s="17"/>
      <c r="N81" s="10"/>
    </row>
    <row r="82" spans="5:14" x14ac:dyDescent="0.2">
      <c r="E82" s="10"/>
      <c r="F82" s="53"/>
      <c r="G82" s="35"/>
      <c r="J82" s="17"/>
      <c r="K82" s="17"/>
      <c r="N82" s="10"/>
    </row>
    <row r="83" spans="5:14" x14ac:dyDescent="0.2">
      <c r="E83" s="10"/>
      <c r="F83" s="53"/>
      <c r="G83" s="35"/>
      <c r="J83" s="17"/>
      <c r="K83" s="17"/>
      <c r="N83" s="10"/>
    </row>
    <row r="84" spans="5:14" x14ac:dyDescent="0.2">
      <c r="E84" s="10"/>
      <c r="F84" s="53"/>
      <c r="G84" s="35"/>
      <c r="J84" s="17"/>
      <c r="K84" s="17"/>
      <c r="N84" s="10"/>
    </row>
    <row r="85" spans="5:14" x14ac:dyDescent="0.2">
      <c r="E85" s="10"/>
      <c r="F85" s="53"/>
      <c r="G85" s="35"/>
      <c r="J85" s="17"/>
      <c r="K85" s="17"/>
      <c r="N85" s="10"/>
    </row>
    <row r="86" spans="5:14" x14ac:dyDescent="0.2">
      <c r="E86" s="10"/>
      <c r="F86" s="53"/>
      <c r="G86" s="35"/>
      <c r="J86" s="17"/>
      <c r="K86" s="17"/>
      <c r="N86" s="10"/>
    </row>
    <row r="87" spans="5:14" x14ac:dyDescent="0.2">
      <c r="E87" s="10"/>
      <c r="F87" s="53"/>
      <c r="G87" s="35"/>
      <c r="J87" s="17"/>
      <c r="K87" s="17"/>
      <c r="N87" s="10"/>
    </row>
    <row r="88" spans="5:14" x14ac:dyDescent="0.2">
      <c r="E88" s="10"/>
      <c r="F88" s="53"/>
      <c r="G88" s="35"/>
      <c r="J88" s="17"/>
      <c r="K88" s="17"/>
      <c r="N88" s="10"/>
    </row>
    <row r="89" spans="5:14" x14ac:dyDescent="0.2">
      <c r="E89" s="10"/>
      <c r="F89" s="53"/>
      <c r="G89" s="35"/>
      <c r="J89" s="17"/>
      <c r="K89" s="17"/>
      <c r="N89" s="10"/>
    </row>
    <row r="90" spans="5:14" x14ac:dyDescent="0.2">
      <c r="E90" s="10"/>
      <c r="F90" s="53"/>
      <c r="G90" s="35"/>
      <c r="J90" s="17"/>
      <c r="K90" s="17"/>
      <c r="N90" s="10"/>
    </row>
    <row r="91" spans="5:14" x14ac:dyDescent="0.2">
      <c r="E91" s="10"/>
      <c r="F91" s="53"/>
      <c r="G91" s="35"/>
      <c r="J91" s="17"/>
      <c r="K91" s="17"/>
      <c r="N91" s="10"/>
    </row>
    <row r="92" spans="5:14" x14ac:dyDescent="0.2">
      <c r="E92" s="10"/>
      <c r="F92" s="53"/>
      <c r="G92" s="35"/>
      <c r="J92" s="17"/>
      <c r="K92" s="17"/>
      <c r="N92" s="10"/>
    </row>
    <row r="93" spans="5:14" x14ac:dyDescent="0.2">
      <c r="E93" s="10"/>
      <c r="F93" s="53"/>
      <c r="G93" s="35"/>
      <c r="J93" s="17"/>
      <c r="K93" s="17"/>
      <c r="N93" s="10"/>
    </row>
    <row r="94" spans="5:14" x14ac:dyDescent="0.2">
      <c r="E94" s="10"/>
      <c r="F94" s="53"/>
      <c r="G94" s="35"/>
      <c r="J94" s="17"/>
      <c r="K94" s="17"/>
      <c r="N94" s="10"/>
    </row>
    <row r="95" spans="5:14" x14ac:dyDescent="0.2">
      <c r="E95" s="10"/>
      <c r="F95" s="53"/>
      <c r="G95" s="35"/>
      <c r="J95" s="17"/>
      <c r="K95" s="17"/>
      <c r="N95" s="10"/>
    </row>
    <row r="96" spans="5:14" x14ac:dyDescent="0.2">
      <c r="E96" s="10"/>
      <c r="F96" s="53"/>
      <c r="G96" s="35"/>
      <c r="J96" s="17"/>
      <c r="K96" s="17"/>
      <c r="N96" s="10"/>
    </row>
    <row r="97" spans="5:14" x14ac:dyDescent="0.2">
      <c r="E97" s="10"/>
      <c r="F97" s="53"/>
      <c r="G97" s="35"/>
      <c r="J97" s="17"/>
      <c r="K97" s="17"/>
      <c r="N97" s="10"/>
    </row>
    <row r="98" spans="5:14" x14ac:dyDescent="0.2">
      <c r="E98" s="10"/>
      <c r="F98" s="53"/>
      <c r="G98" s="35"/>
      <c r="J98" s="17"/>
      <c r="K98" s="17"/>
      <c r="N98" s="10"/>
    </row>
    <row r="99" spans="5:14" x14ac:dyDescent="0.2">
      <c r="E99" s="10"/>
      <c r="F99" s="53"/>
      <c r="G99" s="35"/>
      <c r="J99" s="17"/>
      <c r="K99" s="17"/>
      <c r="N99" s="10"/>
    </row>
    <row r="100" spans="5:14" x14ac:dyDescent="0.2">
      <c r="E100" s="10"/>
      <c r="F100" s="53"/>
      <c r="G100" s="35"/>
      <c r="J100" s="17"/>
      <c r="K100" s="17"/>
      <c r="N100" s="10"/>
    </row>
    <row r="101" spans="5:14" x14ac:dyDescent="0.2">
      <c r="E101" s="10"/>
      <c r="F101" s="53"/>
      <c r="G101" s="35"/>
      <c r="J101" s="17"/>
      <c r="K101" s="17"/>
      <c r="N101" s="10"/>
    </row>
    <row r="102" spans="5:14" x14ac:dyDescent="0.2">
      <c r="E102" s="10"/>
      <c r="F102" s="53"/>
      <c r="G102" s="35"/>
      <c r="J102" s="17"/>
      <c r="K102" s="17"/>
      <c r="N102" s="10"/>
    </row>
    <row r="103" spans="5:14" x14ac:dyDescent="0.2">
      <c r="E103" s="10"/>
      <c r="F103" s="53"/>
      <c r="G103" s="35"/>
      <c r="J103" s="17"/>
      <c r="K103" s="17"/>
      <c r="N103" s="10"/>
    </row>
    <row r="104" spans="5:14" x14ac:dyDescent="0.2">
      <c r="E104" s="10"/>
      <c r="F104" s="53"/>
      <c r="G104" s="35"/>
      <c r="J104" s="17"/>
      <c r="K104" s="17"/>
      <c r="N104" s="10"/>
    </row>
    <row r="105" spans="5:14" x14ac:dyDescent="0.2">
      <c r="E105" s="10"/>
      <c r="F105" s="53"/>
      <c r="G105" s="35"/>
      <c r="J105" s="17"/>
      <c r="K105" s="17"/>
      <c r="N105" s="10"/>
    </row>
    <row r="106" spans="5:14" x14ac:dyDescent="0.2">
      <c r="E106" s="10"/>
      <c r="F106" s="53"/>
      <c r="G106" s="35"/>
      <c r="J106" s="17"/>
      <c r="K106" s="17"/>
      <c r="N106" s="10"/>
    </row>
    <row r="107" spans="5:14" x14ac:dyDescent="0.2">
      <c r="E107" s="10"/>
      <c r="F107" s="53"/>
      <c r="G107" s="35"/>
      <c r="J107" s="17"/>
      <c r="K107" s="17"/>
      <c r="N107" s="10"/>
    </row>
    <row r="108" spans="5:14" x14ac:dyDescent="0.2">
      <c r="E108" s="10"/>
      <c r="F108" s="53"/>
      <c r="G108" s="35"/>
      <c r="J108" s="17"/>
      <c r="K108" s="17"/>
      <c r="N108" s="10"/>
    </row>
    <row r="109" spans="5:14" x14ac:dyDescent="0.2">
      <c r="E109" s="10"/>
      <c r="F109" s="53"/>
      <c r="G109" s="35"/>
      <c r="J109" s="17"/>
      <c r="K109" s="17"/>
      <c r="N109" s="10"/>
    </row>
    <row r="110" spans="5:14" x14ac:dyDescent="0.2">
      <c r="E110" s="10"/>
      <c r="F110" s="53"/>
      <c r="G110" s="35"/>
      <c r="J110" s="17"/>
      <c r="K110" s="17"/>
      <c r="N110" s="10"/>
    </row>
    <row r="111" spans="5:14" x14ac:dyDescent="0.2">
      <c r="E111" s="10"/>
      <c r="F111" s="53"/>
      <c r="G111" s="35"/>
      <c r="J111" s="17"/>
      <c r="K111" s="17"/>
      <c r="N111" s="10"/>
    </row>
    <row r="112" spans="5:14" x14ac:dyDescent="0.2">
      <c r="E112" s="10"/>
      <c r="F112" s="53"/>
      <c r="G112" s="35"/>
      <c r="J112" s="17"/>
      <c r="K112" s="17"/>
      <c r="N112" s="10"/>
    </row>
    <row r="113" spans="5:14" x14ac:dyDescent="0.2">
      <c r="E113" s="10"/>
      <c r="F113" s="53"/>
      <c r="G113" s="35"/>
      <c r="J113" s="17"/>
      <c r="K113" s="17"/>
      <c r="N113" s="10"/>
    </row>
    <row r="114" spans="5:14" x14ac:dyDescent="0.2">
      <c r="E114" s="10"/>
      <c r="F114" s="53"/>
      <c r="G114" s="35"/>
      <c r="J114" s="17"/>
      <c r="K114" s="17"/>
      <c r="N114" s="10"/>
    </row>
    <row r="115" spans="5:14" x14ac:dyDescent="0.2">
      <c r="E115" s="10"/>
      <c r="F115" s="53"/>
      <c r="G115" s="35"/>
      <c r="J115" s="17"/>
      <c r="K115" s="17"/>
      <c r="N115" s="10"/>
    </row>
    <row r="116" spans="5:14" x14ac:dyDescent="0.2">
      <c r="E116" s="45"/>
      <c r="F116" s="53"/>
      <c r="G116" s="35"/>
      <c r="J116" s="17"/>
      <c r="K116" s="17"/>
      <c r="N116" s="10"/>
    </row>
    <row r="117" spans="5:14" x14ac:dyDescent="0.2">
      <c r="E117" s="45"/>
      <c r="F117" s="53"/>
      <c r="G117" s="35"/>
      <c r="J117" s="17"/>
      <c r="K117" s="17"/>
      <c r="N117" s="10"/>
    </row>
    <row r="118" spans="5:14" x14ac:dyDescent="0.2">
      <c r="E118" s="10"/>
      <c r="F118" s="53"/>
      <c r="G118" s="35"/>
      <c r="J118" s="17"/>
      <c r="K118" s="17"/>
      <c r="N118" s="10"/>
    </row>
    <row r="119" spans="5:14" x14ac:dyDescent="0.2">
      <c r="E119" s="10"/>
      <c r="F119" s="53"/>
      <c r="G119" s="35"/>
      <c r="J119" s="17"/>
      <c r="K119" s="17"/>
      <c r="N119" s="10"/>
    </row>
    <row r="120" spans="5:14" x14ac:dyDescent="0.2">
      <c r="E120" s="10"/>
      <c r="F120" s="53"/>
      <c r="G120" s="35"/>
      <c r="J120" s="17"/>
      <c r="K120" s="17"/>
      <c r="N120" s="10"/>
    </row>
    <row r="121" spans="5:14" x14ac:dyDescent="0.2">
      <c r="E121" s="10"/>
      <c r="F121" s="53"/>
      <c r="G121" s="35"/>
      <c r="J121" s="17"/>
      <c r="K121" s="17"/>
      <c r="N121" s="10"/>
    </row>
    <row r="122" spans="5:14" x14ac:dyDescent="0.2">
      <c r="E122" s="10"/>
      <c r="F122" s="53"/>
      <c r="G122" s="35"/>
      <c r="J122" s="17"/>
      <c r="K122" s="17"/>
      <c r="N122" s="10"/>
    </row>
    <row r="123" spans="5:14" x14ac:dyDescent="0.2">
      <c r="E123" s="10"/>
      <c r="F123" s="53"/>
      <c r="G123" s="35"/>
      <c r="J123" s="17"/>
      <c r="K123" s="17"/>
      <c r="N123" s="10"/>
    </row>
    <row r="124" spans="5:14" x14ac:dyDescent="0.2">
      <c r="E124" s="10"/>
      <c r="F124" s="53"/>
      <c r="G124" s="35"/>
      <c r="J124" s="17"/>
      <c r="K124" s="17"/>
      <c r="N124" s="10"/>
    </row>
    <row r="125" spans="5:14" x14ac:dyDescent="0.2">
      <c r="E125" s="10"/>
      <c r="F125" s="53"/>
      <c r="G125" s="35"/>
      <c r="J125" s="17"/>
      <c r="K125" s="17"/>
      <c r="N125" s="10"/>
    </row>
    <row r="126" spans="5:14" x14ac:dyDescent="0.2">
      <c r="E126" s="10"/>
      <c r="F126" s="53"/>
      <c r="G126" s="35"/>
      <c r="J126" s="17"/>
      <c r="K126" s="17"/>
      <c r="N126" s="10"/>
    </row>
    <row r="127" spans="5:14" x14ac:dyDescent="0.2">
      <c r="E127" s="10"/>
      <c r="F127" s="53"/>
      <c r="G127" s="35"/>
      <c r="J127" s="17"/>
      <c r="K127" s="17"/>
      <c r="N127" s="10"/>
    </row>
    <row r="128" spans="5:14" x14ac:dyDescent="0.2">
      <c r="E128" s="10"/>
      <c r="F128" s="53"/>
      <c r="G128" s="9"/>
      <c r="J128" s="17"/>
      <c r="K128" s="17"/>
      <c r="N128" s="10"/>
    </row>
    <row r="129" spans="5:14" x14ac:dyDescent="0.2">
      <c r="E129" s="10"/>
      <c r="F129" s="53"/>
      <c r="G129" s="9"/>
      <c r="J129" s="17"/>
      <c r="K129" s="17"/>
      <c r="N129" s="10"/>
    </row>
    <row r="130" spans="5:14" x14ac:dyDescent="0.2">
      <c r="E130" s="10"/>
      <c r="F130" s="53"/>
      <c r="G130" s="9"/>
      <c r="J130" s="17"/>
      <c r="K130" s="17"/>
      <c r="N130" s="10"/>
    </row>
    <row r="131" spans="5:14" x14ac:dyDescent="0.2">
      <c r="E131" s="10"/>
      <c r="F131" s="53"/>
      <c r="G131" s="9"/>
      <c r="J131" s="17"/>
      <c r="K131" s="17"/>
      <c r="N131" s="10"/>
    </row>
    <row r="132" spans="5:14" x14ac:dyDescent="0.2">
      <c r="E132" s="10"/>
      <c r="F132" s="53"/>
      <c r="G132" s="9"/>
      <c r="J132" s="17"/>
      <c r="K132" s="17"/>
      <c r="N132" s="10"/>
    </row>
    <row r="133" spans="5:14" x14ac:dyDescent="0.2">
      <c r="E133" s="10"/>
      <c r="F133" s="53"/>
      <c r="G133" s="9"/>
      <c r="J133" s="17"/>
      <c r="K133" s="17"/>
      <c r="N133" s="10"/>
    </row>
    <row r="134" spans="5:14" x14ac:dyDescent="0.2">
      <c r="E134" s="10"/>
      <c r="F134" s="53"/>
      <c r="G134" s="9"/>
      <c r="J134" s="17"/>
      <c r="K134" s="17"/>
      <c r="N134" s="10"/>
    </row>
    <row r="135" spans="5:14" x14ac:dyDescent="0.2">
      <c r="E135" s="10"/>
      <c r="F135" s="53"/>
      <c r="G135" s="9"/>
      <c r="J135" s="17"/>
      <c r="K135" s="17"/>
      <c r="N135" s="10"/>
    </row>
    <row r="136" spans="5:14" x14ac:dyDescent="0.2">
      <c r="E136" s="10"/>
      <c r="F136" s="53"/>
      <c r="G136" s="9"/>
      <c r="J136" s="17"/>
      <c r="K136" s="17"/>
      <c r="N136" s="10"/>
    </row>
    <row r="137" spans="5:14" x14ac:dyDescent="0.2">
      <c r="E137" s="10"/>
      <c r="F137" s="53"/>
      <c r="G137" s="9"/>
      <c r="J137" s="17"/>
      <c r="K137" s="17"/>
      <c r="N137" s="10"/>
    </row>
    <row r="138" spans="5:14" x14ac:dyDescent="0.2">
      <c r="E138" s="10"/>
      <c r="F138" s="53"/>
      <c r="G138" s="9"/>
      <c r="J138" s="17"/>
      <c r="K138" s="17"/>
      <c r="N138" s="10"/>
    </row>
    <row r="139" spans="5:14" x14ac:dyDescent="0.2">
      <c r="E139" s="10"/>
      <c r="F139" s="53"/>
      <c r="G139" s="9"/>
      <c r="J139" s="17"/>
      <c r="K139" s="17"/>
      <c r="N139" s="10"/>
    </row>
    <row r="140" spans="5:14" x14ac:dyDescent="0.2">
      <c r="E140" s="10"/>
      <c r="F140" s="53"/>
      <c r="G140" s="9"/>
      <c r="J140" s="17"/>
      <c r="K140" s="17"/>
      <c r="N140" s="10"/>
    </row>
    <row r="141" spans="5:14" x14ac:dyDescent="0.2">
      <c r="E141" s="10"/>
      <c r="F141" s="53"/>
      <c r="G141" s="9"/>
      <c r="J141" s="17"/>
      <c r="K141" s="17"/>
      <c r="N141" s="10"/>
    </row>
    <row r="142" spans="5:14" x14ac:dyDescent="0.2">
      <c r="E142" s="10"/>
      <c r="F142" s="53"/>
      <c r="G142" s="9"/>
      <c r="J142" s="17"/>
      <c r="K142" s="17"/>
      <c r="N142" s="10"/>
    </row>
    <row r="143" spans="5:14" x14ac:dyDescent="0.2">
      <c r="E143" s="10"/>
      <c r="F143" s="53"/>
      <c r="G143" s="9"/>
      <c r="J143" s="17"/>
      <c r="K143" s="17"/>
      <c r="N143" s="10"/>
    </row>
    <row r="144" spans="5:14" x14ac:dyDescent="0.2">
      <c r="E144" s="10"/>
      <c r="F144" s="53"/>
      <c r="G144" s="9"/>
      <c r="J144" s="17"/>
      <c r="K144" s="17"/>
      <c r="N144" s="10"/>
    </row>
    <row r="145" spans="5:14" x14ac:dyDescent="0.2">
      <c r="E145" s="10"/>
      <c r="F145" s="53"/>
      <c r="G145" s="9"/>
      <c r="J145" s="17"/>
      <c r="K145" s="17"/>
      <c r="N145" s="10"/>
    </row>
    <row r="146" spans="5:14" x14ac:dyDescent="0.2">
      <c r="E146" s="10"/>
      <c r="F146" s="53"/>
      <c r="G146" s="9"/>
      <c r="J146" s="17"/>
      <c r="K146" s="17"/>
      <c r="N146" s="10"/>
    </row>
    <row r="147" spans="5:14" x14ac:dyDescent="0.2">
      <c r="E147" s="10"/>
      <c r="F147" s="53"/>
      <c r="G147" s="9"/>
      <c r="J147" s="17"/>
      <c r="K147" s="17"/>
      <c r="N147" s="10"/>
    </row>
    <row r="148" spans="5:14" x14ac:dyDescent="0.2">
      <c r="E148" s="10"/>
      <c r="F148" s="53"/>
      <c r="G148" s="9"/>
      <c r="J148" s="17"/>
      <c r="K148" s="17"/>
      <c r="N148" s="10"/>
    </row>
    <row r="149" spans="5:14" x14ac:dyDescent="0.2">
      <c r="E149" s="10"/>
      <c r="F149" s="53"/>
      <c r="G149" s="9"/>
      <c r="J149" s="17"/>
      <c r="K149" s="17"/>
      <c r="N149" s="10"/>
    </row>
    <row r="150" spans="5:14" x14ac:dyDescent="0.2">
      <c r="E150" s="10"/>
      <c r="F150" s="53"/>
      <c r="G150" s="9"/>
      <c r="J150" s="17"/>
      <c r="K150" s="17"/>
      <c r="N150" s="10"/>
    </row>
    <row r="151" spans="5:14" x14ac:dyDescent="0.2">
      <c r="E151" s="10"/>
      <c r="F151" s="53"/>
      <c r="G151" s="9"/>
      <c r="J151" s="17"/>
      <c r="K151" s="17"/>
      <c r="N151" s="10"/>
    </row>
    <row r="152" spans="5:14" x14ac:dyDescent="0.2">
      <c r="E152" s="10"/>
      <c r="F152" s="53"/>
      <c r="G152" s="9"/>
      <c r="J152" s="17"/>
      <c r="K152" s="17"/>
      <c r="N152" s="10"/>
    </row>
    <row r="153" spans="5:14" x14ac:dyDescent="0.2">
      <c r="E153" s="10"/>
      <c r="F153" s="53"/>
      <c r="G153" s="9"/>
      <c r="J153" s="17"/>
      <c r="K153" s="17"/>
      <c r="N153" s="10"/>
    </row>
    <row r="154" spans="5:14" x14ac:dyDescent="0.2">
      <c r="E154" s="10"/>
      <c r="F154" s="53"/>
      <c r="G154" s="9"/>
      <c r="J154" s="17"/>
      <c r="K154" s="17"/>
      <c r="N154" s="10"/>
    </row>
    <row r="155" spans="5:14" x14ac:dyDescent="0.2">
      <c r="E155" s="10"/>
      <c r="F155" s="53"/>
      <c r="G155" s="9"/>
      <c r="J155" s="17"/>
      <c r="K155" s="17"/>
      <c r="N155" s="10"/>
    </row>
    <row r="156" spans="5:14" x14ac:dyDescent="0.2">
      <c r="E156" s="10"/>
      <c r="F156" s="53"/>
      <c r="G156" s="9"/>
      <c r="J156" s="17"/>
      <c r="K156" s="17"/>
      <c r="N156" s="10"/>
    </row>
    <row r="157" spans="5:14" x14ac:dyDescent="0.2">
      <c r="E157" s="10"/>
      <c r="F157" s="53"/>
      <c r="G157" s="9"/>
      <c r="J157" s="17"/>
      <c r="K157" s="17"/>
      <c r="N157" s="10"/>
    </row>
    <row r="158" spans="5:14" x14ac:dyDescent="0.2">
      <c r="E158" s="10"/>
      <c r="F158" s="53"/>
      <c r="G158" s="9"/>
      <c r="J158" s="17"/>
      <c r="K158" s="17"/>
      <c r="N158" s="10"/>
    </row>
    <row r="159" spans="5:14" x14ac:dyDescent="0.2">
      <c r="E159" s="10"/>
      <c r="F159" s="53"/>
      <c r="G159" s="9"/>
      <c r="J159" s="17"/>
      <c r="K159" s="17"/>
      <c r="N159" s="10"/>
    </row>
    <row r="160" spans="5:14" x14ac:dyDescent="0.2">
      <c r="E160" s="10"/>
      <c r="F160" s="53"/>
      <c r="G160" s="9"/>
      <c r="J160" s="17"/>
      <c r="K160" s="17"/>
      <c r="N160" s="10"/>
    </row>
    <row r="161" spans="5:14" x14ac:dyDescent="0.2">
      <c r="E161" s="10"/>
      <c r="F161" s="53"/>
      <c r="G161" s="9"/>
      <c r="J161" s="17"/>
      <c r="K161" s="17"/>
      <c r="N161" s="10"/>
    </row>
    <row r="162" spans="5:14" x14ac:dyDescent="0.2">
      <c r="E162" s="10"/>
      <c r="F162" s="53"/>
      <c r="G162" s="9"/>
      <c r="J162" s="17"/>
      <c r="K162" s="17"/>
      <c r="N162" s="10"/>
    </row>
    <row r="163" spans="5:14" x14ac:dyDescent="0.2">
      <c r="E163" s="10"/>
      <c r="F163" s="53"/>
      <c r="G163" s="9"/>
      <c r="J163" s="17"/>
      <c r="K163" s="17"/>
      <c r="N163" s="10"/>
    </row>
    <row r="164" spans="5:14" x14ac:dyDescent="0.2">
      <c r="E164" s="10"/>
      <c r="F164" s="53"/>
      <c r="G164" s="9"/>
      <c r="J164" s="17"/>
      <c r="K164" s="17"/>
      <c r="N164" s="10"/>
    </row>
    <row r="165" spans="5:14" x14ac:dyDescent="0.2">
      <c r="E165" s="10"/>
      <c r="F165" s="53"/>
      <c r="G165" s="9"/>
      <c r="J165" s="17"/>
      <c r="K165" s="17"/>
      <c r="N165" s="10"/>
    </row>
    <row r="166" spans="5:14" x14ac:dyDescent="0.2">
      <c r="E166" s="10"/>
      <c r="F166" s="53"/>
      <c r="G166" s="9"/>
      <c r="J166" s="17"/>
      <c r="K166" s="17"/>
      <c r="N166" s="10"/>
    </row>
    <row r="167" spans="5:14" x14ac:dyDescent="0.2">
      <c r="E167" s="10"/>
      <c r="F167" s="53"/>
      <c r="G167" s="9"/>
      <c r="J167" s="17"/>
      <c r="K167" s="17"/>
      <c r="N167" s="10"/>
    </row>
    <row r="168" spans="5:14" x14ac:dyDescent="0.2">
      <c r="E168" s="10"/>
      <c r="F168" s="53"/>
      <c r="G168" s="9"/>
      <c r="J168" s="17"/>
      <c r="K168" s="17"/>
      <c r="N168" s="10"/>
    </row>
    <row r="169" spans="5:14" x14ac:dyDescent="0.2">
      <c r="E169" s="10"/>
      <c r="F169" s="53"/>
      <c r="G169" s="9"/>
      <c r="J169" s="17"/>
      <c r="K169" s="17"/>
      <c r="N169" s="10"/>
    </row>
    <row r="170" spans="5:14" x14ac:dyDescent="0.2">
      <c r="E170" s="10"/>
      <c r="F170" s="53"/>
      <c r="G170" s="9"/>
      <c r="J170" s="17"/>
      <c r="K170" s="17"/>
      <c r="N170" s="10"/>
    </row>
    <row r="171" spans="5:14" x14ac:dyDescent="0.2">
      <c r="E171" s="10"/>
      <c r="F171" s="53"/>
      <c r="G171" s="9"/>
      <c r="J171" s="17"/>
      <c r="K171" s="17"/>
      <c r="N171" s="10"/>
    </row>
    <row r="172" spans="5:14" x14ac:dyDescent="0.2">
      <c r="E172" s="10"/>
      <c r="F172" s="53"/>
      <c r="G172" s="9"/>
      <c r="J172" s="17"/>
      <c r="K172" s="17"/>
      <c r="N172" s="10"/>
    </row>
    <row r="173" spans="5:14" x14ac:dyDescent="0.2">
      <c r="E173" s="10"/>
      <c r="F173" s="53"/>
      <c r="G173" s="9"/>
      <c r="J173" s="17"/>
      <c r="K173" s="17"/>
      <c r="N173" s="10"/>
    </row>
    <row r="174" spans="5:14" x14ac:dyDescent="0.2">
      <c r="E174" s="10"/>
      <c r="F174" s="53"/>
      <c r="G174" s="9"/>
      <c r="J174" s="17"/>
      <c r="K174" s="17"/>
      <c r="N174" s="10"/>
    </row>
    <row r="175" spans="5:14" x14ac:dyDescent="0.2">
      <c r="E175" s="10"/>
      <c r="F175" s="53"/>
      <c r="G175" s="9"/>
      <c r="J175" s="17"/>
      <c r="K175" s="17"/>
      <c r="N175" s="10"/>
    </row>
    <row r="176" spans="5:14" x14ac:dyDescent="0.2">
      <c r="E176" s="10"/>
      <c r="F176" s="53"/>
      <c r="G176" s="9"/>
      <c r="J176" s="17"/>
      <c r="K176" s="17"/>
      <c r="N176" s="10"/>
    </row>
    <row r="177" spans="5:14" x14ac:dyDescent="0.2">
      <c r="E177" s="10"/>
      <c r="F177" s="53"/>
      <c r="G177" s="9"/>
      <c r="J177" s="17"/>
      <c r="K177" s="17"/>
      <c r="N177" s="10"/>
    </row>
    <row r="178" spans="5:14" x14ac:dyDescent="0.2">
      <c r="E178" s="10"/>
      <c r="F178" s="53"/>
      <c r="G178" s="9"/>
      <c r="J178" s="17"/>
      <c r="K178" s="17"/>
      <c r="N178" s="10"/>
    </row>
    <row r="179" spans="5:14" x14ac:dyDescent="0.2">
      <c r="E179" s="10"/>
      <c r="F179" s="53"/>
      <c r="G179" s="9"/>
      <c r="J179" s="17"/>
      <c r="K179" s="17"/>
      <c r="N179" s="10"/>
    </row>
    <row r="180" spans="5:14" x14ac:dyDescent="0.2">
      <c r="E180" s="10"/>
      <c r="F180" s="53"/>
      <c r="G180" s="9"/>
      <c r="J180" s="17"/>
      <c r="K180" s="17"/>
      <c r="N180" s="10"/>
    </row>
    <row r="181" spans="5:14" x14ac:dyDescent="0.2">
      <c r="E181" s="10"/>
      <c r="F181" s="53"/>
      <c r="G181" s="9"/>
      <c r="J181" s="17"/>
      <c r="K181" s="17"/>
      <c r="N181" s="10"/>
    </row>
    <row r="182" spans="5:14" x14ac:dyDescent="0.2">
      <c r="E182" s="10"/>
      <c r="F182" s="53"/>
      <c r="G182" s="9"/>
      <c r="J182" s="17"/>
      <c r="K182" s="17"/>
      <c r="N182" s="10"/>
    </row>
    <row r="183" spans="5:14" x14ac:dyDescent="0.2">
      <c r="E183" s="10"/>
      <c r="F183" s="53"/>
      <c r="G183" s="9"/>
      <c r="J183" s="17"/>
      <c r="K183" s="17"/>
      <c r="N183" s="10"/>
    </row>
    <row r="184" spans="5:14" x14ac:dyDescent="0.2">
      <c r="E184" s="10"/>
      <c r="F184" s="53"/>
      <c r="G184" s="9"/>
      <c r="J184" s="17"/>
      <c r="K184" s="17"/>
      <c r="N184" s="10"/>
    </row>
    <row r="185" spans="5:14" x14ac:dyDescent="0.2">
      <c r="E185" s="10"/>
      <c r="F185" s="53"/>
      <c r="G185" s="9"/>
      <c r="J185" s="17"/>
      <c r="K185" s="17"/>
      <c r="N185" s="10"/>
    </row>
    <row r="186" spans="5:14" x14ac:dyDescent="0.2">
      <c r="E186" s="10"/>
      <c r="F186" s="53"/>
      <c r="G186" s="9"/>
      <c r="J186" s="17"/>
      <c r="K186" s="17"/>
      <c r="N186" s="10"/>
    </row>
    <row r="187" spans="5:14" x14ac:dyDescent="0.2">
      <c r="E187" s="10"/>
      <c r="F187" s="53"/>
      <c r="G187" s="9"/>
      <c r="J187" s="17"/>
      <c r="K187" s="17"/>
      <c r="N187" s="10"/>
    </row>
    <row r="188" spans="5:14" x14ac:dyDescent="0.2">
      <c r="E188" s="10"/>
      <c r="F188" s="53"/>
      <c r="G188" s="9"/>
      <c r="J188" s="17"/>
      <c r="K188" s="17"/>
      <c r="N188" s="10"/>
    </row>
    <row r="189" spans="5:14" x14ac:dyDescent="0.2">
      <c r="E189" s="10"/>
      <c r="F189" s="53"/>
      <c r="G189" s="9"/>
      <c r="J189" s="17"/>
      <c r="K189" s="17"/>
      <c r="N189" s="10"/>
    </row>
    <row r="190" spans="5:14" x14ac:dyDescent="0.2">
      <c r="E190" s="10"/>
      <c r="F190" s="53"/>
      <c r="G190" s="9"/>
      <c r="J190" s="17"/>
      <c r="K190" s="17"/>
      <c r="N190" s="10"/>
    </row>
    <row r="191" spans="5:14" x14ac:dyDescent="0.2">
      <c r="E191" s="10"/>
      <c r="F191" s="53"/>
      <c r="G191" s="9"/>
      <c r="J191" s="17"/>
      <c r="K191" s="17"/>
      <c r="N191" s="10"/>
    </row>
    <row r="192" spans="5:14" x14ac:dyDescent="0.2">
      <c r="E192" s="10"/>
      <c r="F192" s="53"/>
      <c r="G192" s="9"/>
      <c r="J192" s="17"/>
      <c r="K192" s="17"/>
      <c r="N192" s="10"/>
    </row>
    <row r="193" spans="5:14" x14ac:dyDescent="0.2">
      <c r="E193" s="10"/>
      <c r="F193" s="53"/>
      <c r="G193" s="9"/>
      <c r="J193" s="17"/>
      <c r="K193" s="17"/>
      <c r="N193" s="10"/>
    </row>
    <row r="194" spans="5:14" x14ac:dyDescent="0.2">
      <c r="E194" s="10"/>
      <c r="F194" s="53"/>
      <c r="G194" s="9"/>
      <c r="J194" s="17"/>
      <c r="K194" s="17"/>
      <c r="N194" s="10"/>
    </row>
    <row r="195" spans="5:14" x14ac:dyDescent="0.2">
      <c r="E195" s="10"/>
      <c r="F195" s="53"/>
      <c r="G195" s="9"/>
      <c r="J195" s="17"/>
      <c r="K195" s="17"/>
      <c r="N195" s="10"/>
    </row>
    <row r="196" spans="5:14" x14ac:dyDescent="0.2">
      <c r="E196" s="10"/>
      <c r="F196" s="53"/>
      <c r="G196" s="9"/>
      <c r="J196" s="17"/>
      <c r="K196" s="17"/>
      <c r="N196" s="10"/>
    </row>
    <row r="197" spans="5:14" x14ac:dyDescent="0.2">
      <c r="E197" s="10"/>
      <c r="F197" s="53"/>
      <c r="G197" s="9"/>
      <c r="J197" s="17"/>
      <c r="K197" s="17"/>
      <c r="N197" s="10"/>
    </row>
    <row r="198" spans="5:14" x14ac:dyDescent="0.2">
      <c r="E198" s="10"/>
      <c r="F198" s="53"/>
      <c r="G198" s="9"/>
      <c r="J198" s="17"/>
      <c r="K198" s="17"/>
      <c r="N198" s="10"/>
    </row>
    <row r="199" spans="5:14" x14ac:dyDescent="0.2">
      <c r="E199" s="10"/>
      <c r="F199" s="53"/>
      <c r="G199" s="9"/>
      <c r="J199" s="17"/>
      <c r="K199" s="17"/>
      <c r="N199" s="10"/>
    </row>
    <row r="200" spans="5:14" x14ac:dyDescent="0.2">
      <c r="E200" s="10"/>
      <c r="F200" s="53"/>
      <c r="G200" s="9"/>
      <c r="J200" s="17"/>
      <c r="K200" s="17"/>
      <c r="N200" s="10"/>
    </row>
    <row r="201" spans="5:14" x14ac:dyDescent="0.2">
      <c r="E201" s="10"/>
      <c r="F201" s="53"/>
      <c r="G201" s="9"/>
      <c r="J201" s="17"/>
      <c r="K201" s="17"/>
      <c r="N201" s="10"/>
    </row>
    <row r="202" spans="5:14" x14ac:dyDescent="0.2">
      <c r="E202" s="10"/>
      <c r="F202" s="53"/>
      <c r="G202" s="9"/>
      <c r="J202" s="17"/>
      <c r="K202" s="17"/>
      <c r="N202" s="10"/>
    </row>
    <row r="203" spans="5:14" x14ac:dyDescent="0.2">
      <c r="E203" s="10"/>
      <c r="F203" s="53"/>
      <c r="G203" s="9"/>
      <c r="J203" s="17"/>
      <c r="K203" s="17"/>
      <c r="N203" s="10"/>
    </row>
    <row r="204" spans="5:14" x14ac:dyDescent="0.2">
      <c r="E204" s="10"/>
      <c r="F204" s="53"/>
      <c r="G204" s="9"/>
      <c r="J204" s="17"/>
      <c r="K204" s="17"/>
      <c r="N204" s="10"/>
    </row>
    <row r="205" spans="5:14" x14ac:dyDescent="0.2">
      <c r="E205" s="10"/>
      <c r="F205" s="53"/>
      <c r="G205" s="9"/>
      <c r="J205" s="17"/>
      <c r="K205" s="17"/>
      <c r="N205" s="10"/>
    </row>
    <row r="206" spans="5:14" x14ac:dyDescent="0.2">
      <c r="E206" s="10"/>
      <c r="F206" s="53"/>
      <c r="G206" s="9"/>
      <c r="J206" s="17"/>
      <c r="K206" s="17"/>
      <c r="N206" s="10"/>
    </row>
    <row r="207" spans="5:14" x14ac:dyDescent="0.2">
      <c r="E207" s="10"/>
      <c r="F207" s="53"/>
      <c r="G207" s="9"/>
      <c r="J207" s="17"/>
      <c r="K207" s="17"/>
      <c r="N207" s="10"/>
    </row>
    <row r="208" spans="5:14" x14ac:dyDescent="0.2">
      <c r="E208" s="10"/>
      <c r="F208" s="53"/>
      <c r="G208" s="9"/>
      <c r="J208" s="17"/>
      <c r="K208" s="17"/>
      <c r="N208" s="10"/>
    </row>
    <row r="209" spans="5:14" x14ac:dyDescent="0.2">
      <c r="E209" s="10"/>
      <c r="F209" s="53"/>
      <c r="G209" s="9"/>
      <c r="J209" s="17"/>
      <c r="K209" s="17"/>
      <c r="N209" s="10"/>
    </row>
    <row r="210" spans="5:14" x14ac:dyDescent="0.2">
      <c r="E210" s="10"/>
      <c r="F210" s="53"/>
      <c r="G210" s="9"/>
      <c r="J210" s="17"/>
      <c r="K210" s="17"/>
      <c r="N210" s="10"/>
    </row>
    <row r="211" spans="5:14" x14ac:dyDescent="0.2">
      <c r="E211" s="10"/>
      <c r="F211" s="53"/>
      <c r="G211" s="9"/>
      <c r="J211" s="17"/>
      <c r="K211" s="17"/>
      <c r="N211" s="10"/>
    </row>
    <row r="212" spans="5:14" x14ac:dyDescent="0.2">
      <c r="E212" s="10"/>
      <c r="F212" s="53"/>
      <c r="G212" s="9"/>
      <c r="J212" s="17"/>
      <c r="K212" s="17"/>
      <c r="N212" s="10"/>
    </row>
    <row r="213" spans="5:14" x14ac:dyDescent="0.2">
      <c r="E213" s="10"/>
      <c r="F213" s="53"/>
      <c r="G213" s="9"/>
      <c r="J213" s="17"/>
      <c r="K213" s="17"/>
      <c r="N213" s="10"/>
    </row>
    <row r="214" spans="5:14" x14ac:dyDescent="0.2">
      <c r="E214" s="10"/>
      <c r="F214" s="53"/>
      <c r="G214" s="9"/>
      <c r="J214" s="17"/>
      <c r="K214" s="17"/>
      <c r="N214" s="10"/>
    </row>
    <row r="215" spans="5:14" x14ac:dyDescent="0.2">
      <c r="E215" s="10"/>
      <c r="F215" s="53"/>
      <c r="G215" s="9"/>
      <c r="J215" s="17"/>
      <c r="K215" s="17"/>
      <c r="N215" s="10"/>
    </row>
    <row r="216" spans="5:14" x14ac:dyDescent="0.2">
      <c r="E216" s="10"/>
      <c r="F216" s="53"/>
      <c r="G216" s="9"/>
      <c r="J216" s="17"/>
      <c r="K216" s="17"/>
      <c r="N216" s="10"/>
    </row>
    <row r="217" spans="5:14" x14ac:dyDescent="0.2">
      <c r="E217" s="10"/>
      <c r="F217" s="53"/>
      <c r="G217" s="9"/>
      <c r="J217" s="17"/>
      <c r="K217" s="17"/>
      <c r="N217" s="10"/>
    </row>
    <row r="218" spans="5:14" x14ac:dyDescent="0.2">
      <c r="E218" s="10"/>
      <c r="F218" s="53"/>
      <c r="G218" s="9"/>
      <c r="J218" s="17"/>
      <c r="K218" s="17"/>
      <c r="N218" s="10"/>
    </row>
    <row r="219" spans="5:14" x14ac:dyDescent="0.2">
      <c r="E219" s="10"/>
      <c r="F219" s="53"/>
      <c r="G219" s="9"/>
      <c r="J219" s="17"/>
      <c r="K219" s="17"/>
      <c r="N219" s="10"/>
    </row>
    <row r="220" spans="5:14" x14ac:dyDescent="0.2">
      <c r="E220" s="10"/>
      <c r="F220" s="53"/>
      <c r="G220" s="9"/>
      <c r="J220" s="17"/>
      <c r="K220" s="17"/>
      <c r="N220" s="10"/>
    </row>
    <row r="221" spans="5:14" x14ac:dyDescent="0.2">
      <c r="E221" s="10"/>
      <c r="F221" s="53"/>
      <c r="G221" s="9"/>
      <c r="J221" s="17"/>
      <c r="K221" s="17"/>
      <c r="N221" s="10"/>
    </row>
    <row r="222" spans="5:14" x14ac:dyDescent="0.2">
      <c r="E222" s="10"/>
      <c r="F222" s="53"/>
      <c r="G222" s="9"/>
      <c r="J222" s="17"/>
      <c r="K222" s="17"/>
      <c r="N222" s="10"/>
    </row>
    <row r="223" spans="5:14" x14ac:dyDescent="0.2">
      <c r="E223" s="10"/>
      <c r="F223" s="53"/>
      <c r="G223" s="9"/>
      <c r="J223" s="17"/>
      <c r="K223" s="17"/>
      <c r="N223" s="10"/>
    </row>
    <row r="224" spans="5:14" x14ac:dyDescent="0.2">
      <c r="E224" s="10"/>
      <c r="F224" s="53"/>
      <c r="G224" s="9"/>
      <c r="J224" s="17"/>
      <c r="K224" s="17"/>
      <c r="N224" s="10"/>
    </row>
    <row r="225" spans="5:14" x14ac:dyDescent="0.2">
      <c r="E225" s="10"/>
      <c r="F225" s="53"/>
      <c r="G225" s="9"/>
      <c r="J225" s="17"/>
      <c r="K225" s="17"/>
      <c r="N225" s="10"/>
    </row>
    <row r="226" spans="5:14" x14ac:dyDescent="0.2">
      <c r="E226" s="10"/>
      <c r="F226" s="53"/>
      <c r="G226" s="9"/>
      <c r="J226" s="17"/>
      <c r="K226" s="17"/>
      <c r="N226" s="10"/>
    </row>
    <row r="227" spans="5:14" x14ac:dyDescent="0.2">
      <c r="E227" s="10"/>
      <c r="F227" s="53"/>
      <c r="G227" s="9"/>
      <c r="J227" s="17"/>
      <c r="K227" s="17"/>
      <c r="N227" s="10"/>
    </row>
    <row r="228" spans="5:14" x14ac:dyDescent="0.2">
      <c r="E228" s="10"/>
      <c r="F228" s="53"/>
      <c r="G228" s="9"/>
      <c r="J228" s="17"/>
      <c r="K228" s="17"/>
      <c r="N228" s="10"/>
    </row>
    <row r="229" spans="5:14" x14ac:dyDescent="0.2">
      <c r="E229" s="10"/>
      <c r="F229" s="53"/>
      <c r="G229" s="9"/>
      <c r="J229" s="17"/>
      <c r="K229" s="17"/>
      <c r="N229" s="10"/>
    </row>
    <row r="230" spans="5:14" x14ac:dyDescent="0.2">
      <c r="E230" s="10"/>
      <c r="F230" s="53"/>
      <c r="G230" s="9"/>
      <c r="J230" s="17"/>
      <c r="K230" s="17"/>
      <c r="N230" s="10"/>
    </row>
    <row r="231" spans="5:14" x14ac:dyDescent="0.2">
      <c r="E231" s="10"/>
      <c r="F231" s="53"/>
      <c r="G231" s="9"/>
      <c r="J231" s="17"/>
      <c r="K231" s="17"/>
      <c r="N231" s="10"/>
    </row>
    <row r="232" spans="5:14" x14ac:dyDescent="0.2">
      <c r="E232" s="10"/>
      <c r="F232" s="53"/>
      <c r="G232" s="9"/>
      <c r="J232" s="17"/>
      <c r="K232" s="17"/>
      <c r="N232" s="10"/>
    </row>
    <row r="233" spans="5:14" x14ac:dyDescent="0.2">
      <c r="E233" s="10"/>
      <c r="F233" s="53"/>
      <c r="G233" s="9"/>
      <c r="J233" s="17"/>
      <c r="K233" s="17"/>
      <c r="N233" s="10"/>
    </row>
    <row r="234" spans="5:14" x14ac:dyDescent="0.2">
      <c r="E234" s="10"/>
      <c r="F234" s="53"/>
      <c r="G234" s="9"/>
      <c r="J234" s="17"/>
      <c r="K234" s="17"/>
      <c r="N234" s="10"/>
    </row>
    <row r="235" spans="5:14" x14ac:dyDescent="0.2">
      <c r="E235" s="10"/>
      <c r="F235" s="53"/>
      <c r="G235" s="9"/>
      <c r="J235" s="17"/>
      <c r="K235" s="17"/>
      <c r="N235" s="10"/>
    </row>
    <row r="236" spans="5:14" x14ac:dyDescent="0.2">
      <c r="E236" s="10"/>
      <c r="F236" s="53"/>
      <c r="G236" s="9"/>
      <c r="J236" s="17"/>
      <c r="K236" s="17"/>
      <c r="N236" s="10"/>
    </row>
    <row r="237" spans="5:14" x14ac:dyDescent="0.2">
      <c r="E237" s="10"/>
      <c r="F237" s="53"/>
      <c r="G237" s="9"/>
      <c r="J237" s="17"/>
      <c r="K237" s="17"/>
      <c r="N237" s="10"/>
    </row>
    <row r="238" spans="5:14" x14ac:dyDescent="0.2">
      <c r="E238" s="10"/>
      <c r="F238" s="53"/>
      <c r="G238" s="9"/>
      <c r="J238" s="17"/>
      <c r="K238" s="17"/>
      <c r="N238" s="10"/>
    </row>
    <row r="239" spans="5:14" x14ac:dyDescent="0.2">
      <c r="E239" s="10"/>
      <c r="F239" s="53"/>
      <c r="G239" s="9"/>
      <c r="J239" s="17"/>
      <c r="K239" s="17"/>
      <c r="N239" s="10"/>
    </row>
    <row r="240" spans="5:14" x14ac:dyDescent="0.2">
      <c r="E240" s="10"/>
      <c r="F240" s="53"/>
      <c r="G240" s="9"/>
      <c r="J240" s="17"/>
      <c r="K240" s="17"/>
      <c r="N240" s="10"/>
    </row>
    <row r="241" spans="5:14" x14ac:dyDescent="0.2">
      <c r="E241" s="10"/>
      <c r="F241" s="53"/>
      <c r="G241" s="9"/>
      <c r="J241" s="17"/>
      <c r="K241" s="17"/>
      <c r="N241" s="10"/>
    </row>
    <row r="242" spans="5:14" x14ac:dyDescent="0.2">
      <c r="E242" s="10"/>
      <c r="F242" s="53"/>
      <c r="G242" s="9"/>
      <c r="J242" s="17"/>
      <c r="K242" s="17"/>
      <c r="N242" s="10"/>
    </row>
    <row r="243" spans="5:14" x14ac:dyDescent="0.2">
      <c r="E243" s="10"/>
      <c r="F243" s="53"/>
      <c r="G243" s="9"/>
      <c r="J243" s="17"/>
      <c r="K243" s="17"/>
      <c r="N243" s="10"/>
    </row>
    <row r="244" spans="5:14" x14ac:dyDescent="0.2">
      <c r="E244" s="10"/>
      <c r="F244" s="53"/>
      <c r="G244" s="9"/>
      <c r="J244" s="17"/>
      <c r="K244" s="17"/>
      <c r="N244" s="10"/>
    </row>
    <row r="245" spans="5:14" x14ac:dyDescent="0.2">
      <c r="E245" s="10"/>
      <c r="F245" s="53"/>
      <c r="G245" s="9"/>
      <c r="J245" s="17"/>
      <c r="K245" s="17"/>
      <c r="N245" s="10"/>
    </row>
    <row r="246" spans="5:14" x14ac:dyDescent="0.2">
      <c r="E246" s="10"/>
      <c r="F246" s="53"/>
      <c r="G246" s="9"/>
      <c r="J246" s="17"/>
      <c r="K246" s="17"/>
      <c r="N246" s="10"/>
    </row>
    <row r="247" spans="5:14" x14ac:dyDescent="0.2">
      <c r="E247" s="10"/>
      <c r="F247" s="53"/>
      <c r="G247" s="9"/>
      <c r="J247" s="17"/>
      <c r="K247" s="17"/>
      <c r="N247" s="10"/>
    </row>
    <row r="248" spans="5:14" x14ac:dyDescent="0.2">
      <c r="E248" s="10"/>
      <c r="F248" s="53"/>
      <c r="G248" s="9"/>
      <c r="J248" s="17"/>
      <c r="K248" s="17"/>
      <c r="N248" s="10"/>
    </row>
    <row r="249" spans="5:14" x14ac:dyDescent="0.2">
      <c r="E249" s="10"/>
      <c r="F249" s="53"/>
      <c r="G249" s="9"/>
      <c r="J249" s="17"/>
      <c r="K249" s="17"/>
      <c r="N249" s="10"/>
    </row>
    <row r="250" spans="5:14" x14ac:dyDescent="0.2">
      <c r="E250" s="10"/>
      <c r="F250" s="53"/>
      <c r="G250" s="9"/>
      <c r="J250" s="17"/>
      <c r="K250" s="17"/>
      <c r="N250" s="10"/>
    </row>
    <row r="251" spans="5:14" x14ac:dyDescent="0.2">
      <c r="E251" s="10"/>
      <c r="F251" s="53"/>
      <c r="G251" s="9"/>
      <c r="J251" s="17"/>
      <c r="K251" s="17"/>
      <c r="N251" s="10"/>
    </row>
    <row r="252" spans="5:14" x14ac:dyDescent="0.2">
      <c r="E252" s="10"/>
      <c r="F252" s="53"/>
      <c r="G252" s="9"/>
      <c r="J252" s="17"/>
      <c r="K252" s="17"/>
      <c r="N252" s="10"/>
    </row>
    <row r="253" spans="5:14" x14ac:dyDescent="0.2">
      <c r="E253" s="10"/>
      <c r="F253" s="53"/>
      <c r="G253" s="9"/>
      <c r="J253" s="17"/>
      <c r="K253" s="17"/>
      <c r="N253" s="10"/>
    </row>
    <row r="254" spans="5:14" x14ac:dyDescent="0.2">
      <c r="E254" s="10"/>
      <c r="F254" s="53"/>
      <c r="G254" s="9"/>
      <c r="J254" s="17"/>
      <c r="K254" s="17"/>
      <c r="N254" s="10"/>
    </row>
    <row r="255" spans="5:14" x14ac:dyDescent="0.2">
      <c r="E255" s="10"/>
      <c r="F255" s="53"/>
      <c r="G255" s="9"/>
      <c r="J255" s="17"/>
      <c r="K255" s="17"/>
      <c r="N255" s="10"/>
    </row>
    <row r="256" spans="5:14" x14ac:dyDescent="0.2">
      <c r="E256" s="10"/>
      <c r="F256" s="53"/>
      <c r="G256" s="9"/>
      <c r="J256" s="17"/>
      <c r="K256" s="17"/>
      <c r="N256" s="10"/>
    </row>
    <row r="257" spans="5:14" x14ac:dyDescent="0.2">
      <c r="E257" s="10"/>
      <c r="F257" s="53"/>
      <c r="G257" s="9"/>
      <c r="J257" s="17"/>
      <c r="K257" s="17"/>
      <c r="N257" s="10"/>
    </row>
    <row r="258" spans="5:14" x14ac:dyDescent="0.2">
      <c r="E258" s="10"/>
      <c r="F258" s="53"/>
      <c r="G258" s="9"/>
      <c r="J258" s="17"/>
      <c r="K258" s="17"/>
      <c r="N258" s="10"/>
    </row>
    <row r="259" spans="5:14" x14ac:dyDescent="0.2">
      <c r="E259" s="10"/>
      <c r="F259" s="53"/>
      <c r="G259" s="9"/>
      <c r="J259" s="17"/>
      <c r="K259" s="17"/>
      <c r="N259" s="10"/>
    </row>
    <row r="260" spans="5:14" x14ac:dyDescent="0.2">
      <c r="E260" s="10"/>
      <c r="F260" s="53"/>
      <c r="G260" s="9"/>
      <c r="J260" s="17"/>
      <c r="K260" s="17"/>
      <c r="N260" s="10"/>
    </row>
    <row r="261" spans="5:14" x14ac:dyDescent="0.2">
      <c r="E261" s="10"/>
      <c r="F261" s="53"/>
      <c r="G261" s="9"/>
      <c r="J261" s="17"/>
      <c r="K261" s="17"/>
      <c r="N261" s="10"/>
    </row>
    <row r="262" spans="5:14" x14ac:dyDescent="0.2">
      <c r="E262" s="10"/>
      <c r="F262" s="53"/>
      <c r="G262" s="9"/>
      <c r="J262" s="17"/>
      <c r="K262" s="17"/>
      <c r="N262" s="10"/>
    </row>
    <row r="263" spans="5:14" x14ac:dyDescent="0.2">
      <c r="E263" s="10"/>
      <c r="F263" s="53"/>
      <c r="G263" s="9"/>
      <c r="J263" s="17"/>
      <c r="K263" s="17"/>
      <c r="N263" s="10"/>
    </row>
    <row r="264" spans="5:14" x14ac:dyDescent="0.2">
      <c r="E264" s="10"/>
      <c r="F264" s="53"/>
      <c r="G264" s="9"/>
      <c r="J264" s="17"/>
      <c r="K264" s="17"/>
      <c r="N264" s="10"/>
    </row>
    <row r="265" spans="5:14" x14ac:dyDescent="0.2">
      <c r="E265" s="10"/>
      <c r="F265" s="53"/>
      <c r="G265" s="9"/>
      <c r="J265" s="17"/>
      <c r="K265" s="17"/>
      <c r="N265" s="10"/>
    </row>
    <row r="266" spans="5:14" x14ac:dyDescent="0.2">
      <c r="E266" s="10"/>
      <c r="F266" s="53"/>
      <c r="G266" s="9"/>
      <c r="J266" s="17"/>
      <c r="K266" s="17"/>
      <c r="N266" s="10"/>
    </row>
    <row r="267" spans="5:14" x14ac:dyDescent="0.2">
      <c r="E267" s="10"/>
      <c r="F267" s="53"/>
      <c r="G267" s="9"/>
      <c r="J267" s="17"/>
      <c r="K267" s="17"/>
      <c r="N267" s="10"/>
    </row>
    <row r="268" spans="5:14" x14ac:dyDescent="0.2">
      <c r="E268" s="10"/>
      <c r="F268" s="53"/>
      <c r="G268" s="9"/>
      <c r="J268" s="17"/>
      <c r="K268" s="17"/>
      <c r="N268" s="10"/>
    </row>
    <row r="269" spans="5:14" x14ac:dyDescent="0.2">
      <c r="E269" s="10"/>
      <c r="F269" s="53"/>
      <c r="G269" s="9"/>
      <c r="J269" s="17"/>
      <c r="K269" s="17"/>
      <c r="N269" s="10"/>
    </row>
    <row r="270" spans="5:14" x14ac:dyDescent="0.2">
      <c r="E270" s="10"/>
      <c r="F270" s="53"/>
      <c r="G270" s="9"/>
      <c r="J270" s="17"/>
      <c r="K270" s="17"/>
      <c r="N270" s="10"/>
    </row>
    <row r="271" spans="5:14" x14ac:dyDescent="0.2">
      <c r="E271" s="10"/>
      <c r="F271" s="53"/>
      <c r="G271" s="9"/>
      <c r="J271" s="17"/>
      <c r="K271" s="17"/>
      <c r="N271" s="10"/>
    </row>
    <row r="272" spans="5:14" x14ac:dyDescent="0.2">
      <c r="E272" s="10"/>
      <c r="F272" s="53"/>
      <c r="G272" s="9"/>
      <c r="J272" s="17"/>
      <c r="K272" s="17"/>
      <c r="N272" s="10"/>
    </row>
    <row r="273" spans="5:14" x14ac:dyDescent="0.2">
      <c r="E273" s="10"/>
      <c r="F273" s="53"/>
      <c r="G273" s="9"/>
      <c r="J273" s="17"/>
      <c r="K273" s="17"/>
      <c r="N273" s="10"/>
    </row>
    <row r="274" spans="5:14" x14ac:dyDescent="0.2">
      <c r="E274" s="10"/>
      <c r="F274" s="53"/>
      <c r="G274" s="9"/>
      <c r="J274" s="17"/>
      <c r="K274" s="17"/>
      <c r="N274" s="10"/>
    </row>
    <row r="275" spans="5:14" x14ac:dyDescent="0.2">
      <c r="E275" s="10"/>
      <c r="F275" s="53"/>
      <c r="G275" s="9"/>
      <c r="J275" s="17"/>
      <c r="K275" s="17"/>
      <c r="N275" s="10"/>
    </row>
    <row r="276" spans="5:14" x14ac:dyDescent="0.2">
      <c r="E276" s="10"/>
      <c r="F276" s="53"/>
      <c r="G276" s="9"/>
      <c r="J276" s="17"/>
      <c r="K276" s="17"/>
      <c r="N276" s="10"/>
    </row>
    <row r="277" spans="5:14" x14ac:dyDescent="0.2">
      <c r="E277" s="10"/>
      <c r="F277" s="53"/>
      <c r="G277" s="9"/>
      <c r="J277" s="17"/>
      <c r="K277" s="17"/>
      <c r="N277" s="10"/>
    </row>
    <row r="278" spans="5:14" x14ac:dyDescent="0.2">
      <c r="E278" s="10"/>
      <c r="F278" s="53"/>
      <c r="G278" s="9"/>
      <c r="J278" s="17"/>
      <c r="K278" s="17"/>
      <c r="N278" s="10"/>
    </row>
    <row r="279" spans="5:14" x14ac:dyDescent="0.2">
      <c r="E279" s="10"/>
      <c r="F279" s="53"/>
      <c r="G279" s="9"/>
      <c r="J279" s="17"/>
      <c r="K279" s="17"/>
      <c r="N279" s="10"/>
    </row>
    <row r="280" spans="5:14" x14ac:dyDescent="0.2">
      <c r="E280" s="10"/>
      <c r="F280" s="53"/>
      <c r="G280" s="9"/>
      <c r="J280" s="17"/>
      <c r="K280" s="17"/>
      <c r="N280" s="10"/>
    </row>
    <row r="281" spans="5:14" x14ac:dyDescent="0.2">
      <c r="E281" s="10"/>
      <c r="F281" s="53"/>
      <c r="G281" s="9"/>
      <c r="J281" s="17"/>
      <c r="K281" s="17"/>
      <c r="N281" s="10"/>
    </row>
    <row r="282" spans="5:14" x14ac:dyDescent="0.2">
      <c r="E282" s="10"/>
      <c r="F282" s="53"/>
      <c r="G282" s="9"/>
      <c r="J282" s="17"/>
      <c r="K282" s="17"/>
      <c r="N282" s="10"/>
    </row>
    <row r="283" spans="5:14" x14ac:dyDescent="0.2">
      <c r="E283" s="10"/>
      <c r="F283" s="53"/>
      <c r="G283" s="9"/>
      <c r="J283" s="17"/>
      <c r="K283" s="17"/>
      <c r="N283" s="10"/>
    </row>
    <row r="284" spans="5:14" x14ac:dyDescent="0.2">
      <c r="E284" s="10"/>
      <c r="F284" s="53"/>
      <c r="G284" s="9"/>
      <c r="J284" s="17"/>
      <c r="K284" s="17"/>
      <c r="N284" s="10"/>
    </row>
    <row r="285" spans="5:14" x14ac:dyDescent="0.2">
      <c r="E285" s="10"/>
      <c r="F285" s="53"/>
      <c r="G285" s="9"/>
      <c r="J285" s="17"/>
      <c r="K285" s="17"/>
      <c r="N285" s="10"/>
    </row>
    <row r="286" spans="5:14" x14ac:dyDescent="0.2">
      <c r="E286" s="10"/>
      <c r="F286" s="53"/>
      <c r="G286" s="9"/>
      <c r="J286" s="17"/>
      <c r="K286" s="17"/>
      <c r="N286" s="10"/>
    </row>
    <row r="287" spans="5:14" x14ac:dyDescent="0.2">
      <c r="E287" s="10"/>
      <c r="F287" s="53"/>
      <c r="G287" s="9"/>
      <c r="J287" s="17"/>
      <c r="K287" s="17"/>
      <c r="N287" s="10"/>
    </row>
    <row r="288" spans="5:14" x14ac:dyDescent="0.2">
      <c r="E288" s="10"/>
      <c r="F288" s="53"/>
      <c r="G288" s="9"/>
      <c r="J288" s="17"/>
      <c r="K288" s="17"/>
      <c r="N288" s="10"/>
    </row>
    <row r="289" spans="5:14" x14ac:dyDescent="0.2">
      <c r="E289" s="10"/>
      <c r="F289" s="53"/>
      <c r="G289" s="9"/>
      <c r="J289" s="17"/>
      <c r="K289" s="17"/>
      <c r="N289" s="10"/>
    </row>
    <row r="290" spans="5:14" x14ac:dyDescent="0.2">
      <c r="E290" s="10"/>
      <c r="F290" s="53"/>
      <c r="G290" s="9"/>
      <c r="J290" s="17"/>
      <c r="K290" s="17"/>
      <c r="N290" s="10"/>
    </row>
    <row r="291" spans="5:14" x14ac:dyDescent="0.2">
      <c r="E291" s="10"/>
      <c r="F291" s="53"/>
      <c r="G291" s="9"/>
      <c r="J291" s="17"/>
      <c r="K291" s="17"/>
      <c r="N291" s="10"/>
    </row>
    <row r="292" spans="5:14" x14ac:dyDescent="0.2">
      <c r="E292" s="10"/>
      <c r="F292" s="53"/>
      <c r="G292" s="9"/>
      <c r="J292" s="17"/>
      <c r="K292" s="17"/>
      <c r="N292" s="10"/>
    </row>
    <row r="293" spans="5:14" x14ac:dyDescent="0.2">
      <c r="E293" s="10"/>
      <c r="F293" s="53"/>
      <c r="G293" s="9"/>
      <c r="J293" s="17"/>
      <c r="K293" s="17"/>
      <c r="N293" s="10"/>
    </row>
    <row r="294" spans="5:14" x14ac:dyDescent="0.2">
      <c r="E294" s="10"/>
      <c r="F294" s="53"/>
      <c r="G294" s="9"/>
      <c r="J294" s="17"/>
      <c r="K294" s="17"/>
      <c r="N294" s="10"/>
    </row>
    <row r="295" spans="5:14" x14ac:dyDescent="0.2">
      <c r="E295" s="10"/>
      <c r="F295" s="53"/>
      <c r="G295" s="9"/>
      <c r="J295" s="17"/>
      <c r="K295" s="17"/>
      <c r="N295" s="10"/>
    </row>
    <row r="296" spans="5:14" x14ac:dyDescent="0.2">
      <c r="E296" s="10"/>
      <c r="F296" s="53"/>
      <c r="G296" s="9"/>
      <c r="J296" s="17"/>
      <c r="K296" s="17"/>
      <c r="N296" s="10"/>
    </row>
    <row r="297" spans="5:14" x14ac:dyDescent="0.2">
      <c r="E297" s="10"/>
      <c r="F297" s="53"/>
      <c r="G297" s="9"/>
      <c r="J297" s="17"/>
      <c r="K297" s="17"/>
      <c r="N297" s="10"/>
    </row>
    <row r="298" spans="5:14" x14ac:dyDescent="0.2">
      <c r="E298" s="10"/>
      <c r="F298" s="53"/>
      <c r="G298" s="9"/>
      <c r="J298" s="17"/>
      <c r="K298" s="17"/>
      <c r="N298" s="10"/>
    </row>
    <row r="299" spans="5:14" x14ac:dyDescent="0.2">
      <c r="E299" s="10"/>
      <c r="F299" s="53"/>
      <c r="G299" s="9"/>
      <c r="J299" s="17"/>
      <c r="K299" s="17"/>
      <c r="N299" s="10"/>
    </row>
    <row r="300" spans="5:14" x14ac:dyDescent="0.2">
      <c r="E300" s="10"/>
      <c r="F300" s="53"/>
      <c r="G300" s="9"/>
      <c r="J300" s="17"/>
      <c r="K300" s="17"/>
      <c r="N300" s="10"/>
    </row>
    <row r="301" spans="5:14" x14ac:dyDescent="0.2">
      <c r="E301" s="10"/>
      <c r="F301" s="53"/>
      <c r="G301" s="9"/>
      <c r="J301" s="17"/>
      <c r="K301" s="17"/>
      <c r="N301" s="10"/>
    </row>
    <row r="302" spans="5:14" x14ac:dyDescent="0.2">
      <c r="E302" s="10"/>
      <c r="F302" s="53"/>
      <c r="G302" s="9"/>
      <c r="J302" s="17"/>
      <c r="K302" s="17"/>
      <c r="N302" s="10"/>
    </row>
    <row r="303" spans="5:14" x14ac:dyDescent="0.2">
      <c r="E303" s="10"/>
      <c r="F303" s="53"/>
      <c r="G303" s="9"/>
      <c r="J303" s="17"/>
      <c r="K303" s="17"/>
      <c r="N303" s="10"/>
    </row>
    <row r="304" spans="5:14" x14ac:dyDescent="0.2">
      <c r="E304" s="10"/>
      <c r="F304" s="53"/>
      <c r="G304" s="9"/>
      <c r="J304" s="17"/>
      <c r="K304" s="17"/>
      <c r="N304" s="10"/>
    </row>
    <row r="305" spans="5:14" x14ac:dyDescent="0.2">
      <c r="E305" s="10"/>
      <c r="F305" s="53"/>
      <c r="G305" s="9"/>
      <c r="J305" s="17"/>
      <c r="K305" s="17"/>
      <c r="N305" s="10"/>
    </row>
    <row r="306" spans="5:14" x14ac:dyDescent="0.2">
      <c r="E306" s="10"/>
      <c r="F306" s="53"/>
      <c r="G306" s="9"/>
      <c r="J306" s="17"/>
      <c r="K306" s="17"/>
      <c r="N306" s="10"/>
    </row>
    <row r="307" spans="5:14" x14ac:dyDescent="0.2">
      <c r="E307" s="10"/>
      <c r="F307" s="53"/>
      <c r="G307" s="9"/>
      <c r="J307" s="17"/>
      <c r="K307" s="17"/>
      <c r="N307" s="10"/>
    </row>
    <row r="308" spans="5:14" x14ac:dyDescent="0.2">
      <c r="E308" s="10"/>
      <c r="F308" s="53"/>
      <c r="G308" s="9"/>
      <c r="J308" s="17"/>
      <c r="K308" s="17"/>
      <c r="N308" s="10"/>
    </row>
    <row r="309" spans="5:14" x14ac:dyDescent="0.2">
      <c r="E309" s="10"/>
      <c r="F309" s="53"/>
      <c r="G309" s="9"/>
      <c r="J309" s="17"/>
      <c r="K309" s="17"/>
      <c r="N309" s="10"/>
    </row>
    <row r="310" spans="5:14" x14ac:dyDescent="0.2">
      <c r="E310" s="10"/>
      <c r="F310" s="53"/>
      <c r="G310" s="9"/>
      <c r="J310" s="17"/>
      <c r="K310" s="17"/>
      <c r="N310" s="10"/>
    </row>
    <row r="311" spans="5:14" x14ac:dyDescent="0.2">
      <c r="E311" s="10"/>
      <c r="F311" s="53"/>
      <c r="G311" s="9"/>
      <c r="J311" s="17"/>
      <c r="K311" s="17"/>
      <c r="N311" s="10"/>
    </row>
    <row r="312" spans="5:14" x14ac:dyDescent="0.2">
      <c r="E312" s="10"/>
      <c r="F312" s="53"/>
      <c r="G312" s="9"/>
      <c r="J312" s="17"/>
      <c r="K312" s="17"/>
      <c r="N312" s="10"/>
    </row>
    <row r="313" spans="5:14" x14ac:dyDescent="0.2">
      <c r="E313" s="10"/>
      <c r="F313" s="53"/>
      <c r="G313" s="9"/>
      <c r="J313" s="17"/>
      <c r="K313" s="17"/>
      <c r="N313" s="10"/>
    </row>
    <row r="314" spans="5:14" x14ac:dyDescent="0.2">
      <c r="E314" s="10"/>
      <c r="F314" s="53"/>
      <c r="G314" s="9"/>
      <c r="J314" s="17"/>
      <c r="K314" s="17"/>
      <c r="N314" s="10"/>
    </row>
    <row r="315" spans="5:14" x14ac:dyDescent="0.2">
      <c r="E315" s="10"/>
      <c r="F315" s="53"/>
      <c r="G315" s="9"/>
      <c r="J315" s="17"/>
      <c r="K315" s="17"/>
      <c r="N315" s="10"/>
    </row>
    <row r="316" spans="5:14" x14ac:dyDescent="0.2">
      <c r="E316" s="10"/>
      <c r="F316" s="53"/>
      <c r="G316" s="9"/>
      <c r="J316" s="17"/>
      <c r="K316" s="17"/>
      <c r="N316" s="10"/>
    </row>
    <row r="317" spans="5:14" x14ac:dyDescent="0.2">
      <c r="E317" s="10"/>
      <c r="F317" s="53"/>
      <c r="G317" s="9"/>
      <c r="J317" s="17"/>
      <c r="K317" s="17"/>
      <c r="N317" s="10"/>
    </row>
    <row r="318" spans="5:14" x14ac:dyDescent="0.2">
      <c r="E318" s="10"/>
      <c r="F318" s="53"/>
      <c r="G318" s="9"/>
      <c r="J318" s="17"/>
      <c r="K318" s="17"/>
      <c r="N318" s="10"/>
    </row>
    <row r="319" spans="5:14" x14ac:dyDescent="0.2">
      <c r="E319" s="10"/>
      <c r="F319" s="53"/>
      <c r="G319" s="9"/>
      <c r="J319" s="17"/>
      <c r="K319" s="17"/>
      <c r="N319" s="10"/>
    </row>
    <row r="320" spans="5:14" x14ac:dyDescent="0.2">
      <c r="E320" s="10"/>
      <c r="F320" s="53"/>
      <c r="G320" s="9"/>
      <c r="J320" s="17"/>
      <c r="K320" s="17"/>
      <c r="N320" s="10"/>
    </row>
    <row r="321" spans="5:14" x14ac:dyDescent="0.2">
      <c r="E321" s="10"/>
      <c r="F321" s="53"/>
      <c r="G321" s="9"/>
      <c r="J321" s="17"/>
      <c r="K321" s="17"/>
      <c r="N321" s="10"/>
    </row>
    <row r="322" spans="5:14" x14ac:dyDescent="0.2">
      <c r="E322" s="10"/>
      <c r="F322" s="53"/>
      <c r="G322" s="9"/>
      <c r="J322" s="17"/>
      <c r="K322" s="17"/>
      <c r="N322" s="10"/>
    </row>
    <row r="323" spans="5:14" x14ac:dyDescent="0.2">
      <c r="E323" s="10"/>
      <c r="F323" s="53"/>
      <c r="G323" s="9"/>
      <c r="J323" s="17"/>
      <c r="K323" s="17"/>
      <c r="N323" s="10"/>
    </row>
    <row r="324" spans="5:14" x14ac:dyDescent="0.2">
      <c r="E324" s="10"/>
      <c r="F324" s="53"/>
      <c r="G324" s="9"/>
      <c r="J324" s="17"/>
      <c r="K324" s="17"/>
      <c r="N324" s="10"/>
    </row>
    <row r="325" spans="5:14" x14ac:dyDescent="0.2">
      <c r="E325" s="10"/>
      <c r="F325" s="53"/>
      <c r="G325" s="9"/>
      <c r="J325" s="17"/>
      <c r="K325" s="17"/>
      <c r="N325" s="10"/>
    </row>
    <row r="326" spans="5:14" x14ac:dyDescent="0.2">
      <c r="E326" s="10"/>
      <c r="F326" s="53"/>
      <c r="G326" s="9"/>
      <c r="J326" s="17"/>
      <c r="K326" s="17"/>
      <c r="N326" s="10"/>
    </row>
    <row r="327" spans="5:14" x14ac:dyDescent="0.2">
      <c r="E327" s="10"/>
      <c r="F327" s="53"/>
      <c r="G327" s="9"/>
      <c r="J327" s="17"/>
      <c r="K327" s="17"/>
      <c r="N327" s="10"/>
    </row>
    <row r="328" spans="5:14" x14ac:dyDescent="0.2">
      <c r="E328" s="10"/>
      <c r="F328" s="53"/>
      <c r="G328" s="9"/>
      <c r="J328" s="17"/>
      <c r="K328" s="17"/>
      <c r="N328" s="10"/>
    </row>
    <row r="329" spans="5:14" x14ac:dyDescent="0.2">
      <c r="E329" s="10"/>
      <c r="F329" s="53"/>
      <c r="G329" s="9"/>
      <c r="J329" s="17"/>
      <c r="K329" s="17"/>
      <c r="N329" s="10"/>
    </row>
    <row r="330" spans="5:14" x14ac:dyDescent="0.2">
      <c r="E330" s="10"/>
      <c r="F330" s="53"/>
      <c r="G330" s="9"/>
      <c r="J330" s="17"/>
      <c r="K330" s="17"/>
      <c r="N330" s="10"/>
    </row>
    <row r="331" spans="5:14" x14ac:dyDescent="0.2">
      <c r="E331" s="10"/>
      <c r="F331" s="53"/>
      <c r="G331" s="9"/>
      <c r="J331" s="17"/>
      <c r="K331" s="17"/>
      <c r="N331" s="10"/>
    </row>
    <row r="332" spans="5:14" x14ac:dyDescent="0.2">
      <c r="E332" s="10"/>
      <c r="F332" s="53"/>
      <c r="G332" s="9"/>
      <c r="J332" s="17"/>
      <c r="K332" s="17"/>
      <c r="N332" s="10"/>
    </row>
    <row r="333" spans="5:14" x14ac:dyDescent="0.2">
      <c r="E333" s="10"/>
      <c r="F333" s="53"/>
      <c r="G333" s="9"/>
      <c r="J333" s="17"/>
      <c r="K333" s="17"/>
      <c r="N333" s="10"/>
    </row>
    <row r="334" spans="5:14" x14ac:dyDescent="0.2">
      <c r="E334" s="10"/>
      <c r="F334" s="53"/>
      <c r="G334" s="9"/>
      <c r="J334" s="17"/>
      <c r="K334" s="17"/>
      <c r="N334" s="10"/>
    </row>
    <row r="335" spans="5:14" x14ac:dyDescent="0.2">
      <c r="E335" s="10"/>
      <c r="F335" s="53"/>
      <c r="G335" s="9"/>
      <c r="J335" s="17"/>
      <c r="K335" s="17"/>
      <c r="N335" s="10"/>
    </row>
    <row r="336" spans="5:14" x14ac:dyDescent="0.2">
      <c r="E336" s="10"/>
      <c r="F336" s="53"/>
      <c r="G336" s="9"/>
      <c r="J336" s="17"/>
      <c r="K336" s="17"/>
      <c r="N336" s="10"/>
    </row>
    <row r="337" spans="5:14" x14ac:dyDescent="0.2">
      <c r="E337" s="10"/>
      <c r="F337" s="53"/>
      <c r="G337" s="9"/>
      <c r="J337" s="17"/>
      <c r="K337" s="17"/>
      <c r="N337" s="10"/>
    </row>
    <row r="338" spans="5:14" x14ac:dyDescent="0.2">
      <c r="E338" s="10"/>
      <c r="F338" s="53"/>
      <c r="G338" s="9"/>
      <c r="J338" s="17"/>
      <c r="K338" s="17"/>
      <c r="N338" s="10"/>
    </row>
    <row r="339" spans="5:14" x14ac:dyDescent="0.2">
      <c r="E339" s="10"/>
      <c r="F339" s="53"/>
      <c r="G339" s="9"/>
      <c r="J339" s="17"/>
      <c r="K339" s="17"/>
      <c r="N339" s="10"/>
    </row>
    <row r="340" spans="5:14" x14ac:dyDescent="0.2">
      <c r="E340" s="10"/>
      <c r="F340" s="53"/>
      <c r="G340" s="9"/>
      <c r="J340" s="17"/>
      <c r="K340" s="17"/>
      <c r="N340" s="10"/>
    </row>
    <row r="341" spans="5:14" x14ac:dyDescent="0.2">
      <c r="E341" s="10"/>
      <c r="F341" s="53"/>
      <c r="G341" s="9"/>
      <c r="J341" s="17"/>
      <c r="K341" s="17"/>
      <c r="N341" s="10"/>
    </row>
    <row r="342" spans="5:14" x14ac:dyDescent="0.2">
      <c r="E342" s="10"/>
      <c r="F342" s="53"/>
      <c r="G342" s="9"/>
      <c r="J342" s="17"/>
      <c r="K342" s="17"/>
      <c r="N342" s="10"/>
    </row>
    <row r="343" spans="5:14" x14ac:dyDescent="0.2">
      <c r="E343" s="10"/>
      <c r="F343" s="53"/>
      <c r="G343" s="9"/>
      <c r="J343" s="17"/>
      <c r="K343" s="17"/>
      <c r="N343" s="10"/>
    </row>
    <row r="344" spans="5:14" x14ac:dyDescent="0.2">
      <c r="E344" s="10"/>
      <c r="F344" s="53"/>
      <c r="G344" s="9"/>
      <c r="J344" s="17"/>
      <c r="K344" s="17"/>
      <c r="N344" s="10"/>
    </row>
    <row r="345" spans="5:14" x14ac:dyDescent="0.2">
      <c r="E345" s="10"/>
      <c r="F345" s="53"/>
      <c r="G345" s="9"/>
      <c r="J345" s="17"/>
      <c r="K345" s="17"/>
      <c r="N345" s="10"/>
    </row>
    <row r="346" spans="5:14" x14ac:dyDescent="0.2">
      <c r="E346" s="10"/>
      <c r="F346" s="53"/>
      <c r="G346" s="9"/>
      <c r="J346" s="17"/>
      <c r="K346" s="17"/>
      <c r="N346" s="10"/>
    </row>
    <row r="347" spans="5:14" x14ac:dyDescent="0.2">
      <c r="E347" s="10"/>
      <c r="F347" s="53"/>
      <c r="G347" s="9"/>
      <c r="J347" s="17"/>
      <c r="K347" s="17"/>
      <c r="N347" s="10"/>
    </row>
    <row r="348" spans="5:14" x14ac:dyDescent="0.2">
      <c r="E348" s="10"/>
      <c r="F348" s="53"/>
      <c r="G348" s="9"/>
      <c r="J348" s="17"/>
      <c r="K348" s="17"/>
      <c r="N348" s="10"/>
    </row>
    <row r="349" spans="5:14" x14ac:dyDescent="0.2">
      <c r="E349" s="10"/>
      <c r="F349" s="53"/>
      <c r="G349" s="9"/>
      <c r="J349" s="17"/>
      <c r="K349" s="17"/>
      <c r="N349" s="10"/>
    </row>
    <row r="350" spans="5:14" x14ac:dyDescent="0.2">
      <c r="E350" s="10"/>
      <c r="F350" s="53"/>
      <c r="G350" s="9"/>
      <c r="J350" s="17"/>
      <c r="K350" s="17"/>
      <c r="N350" s="10"/>
    </row>
    <row r="351" spans="5:14" x14ac:dyDescent="0.2">
      <c r="E351" s="10"/>
      <c r="F351" s="53"/>
      <c r="G351" s="9"/>
      <c r="J351" s="17"/>
      <c r="K351" s="17"/>
      <c r="N351" s="10"/>
    </row>
    <row r="352" spans="5:14" x14ac:dyDescent="0.2">
      <c r="E352" s="10"/>
      <c r="F352" s="53"/>
      <c r="G352" s="9"/>
      <c r="J352" s="17"/>
      <c r="K352" s="17"/>
      <c r="N352" s="10"/>
    </row>
    <row r="353" spans="5:14" x14ac:dyDescent="0.2">
      <c r="E353" s="10"/>
      <c r="F353" s="53"/>
      <c r="G353" s="9"/>
      <c r="J353" s="17"/>
      <c r="K353" s="17"/>
      <c r="N353" s="10"/>
    </row>
    <row r="354" spans="5:14" x14ac:dyDescent="0.2">
      <c r="E354" s="10"/>
      <c r="F354" s="53"/>
      <c r="G354" s="9"/>
      <c r="J354" s="17"/>
      <c r="K354" s="17"/>
      <c r="N354" s="10"/>
    </row>
    <row r="355" spans="5:14" x14ac:dyDescent="0.2">
      <c r="E355" s="10"/>
      <c r="F355" s="53"/>
      <c r="G355" s="9"/>
      <c r="J355" s="17"/>
      <c r="K355" s="17"/>
      <c r="N355" s="10"/>
    </row>
    <row r="356" spans="5:14" x14ac:dyDescent="0.2">
      <c r="E356" s="10"/>
      <c r="F356" s="53"/>
      <c r="G356" s="9"/>
      <c r="J356" s="17"/>
      <c r="K356" s="17"/>
      <c r="N356" s="10"/>
    </row>
    <row r="357" spans="5:14" x14ac:dyDescent="0.2">
      <c r="E357" s="10"/>
      <c r="F357" s="53"/>
      <c r="G357" s="9"/>
      <c r="J357" s="17"/>
      <c r="K357" s="17"/>
      <c r="N357" s="10"/>
    </row>
    <row r="358" spans="5:14" x14ac:dyDescent="0.2">
      <c r="E358" s="10"/>
      <c r="F358" s="53"/>
      <c r="G358" s="9"/>
      <c r="J358" s="17"/>
      <c r="K358" s="17"/>
      <c r="N358" s="10"/>
    </row>
    <row r="359" spans="5:14" x14ac:dyDescent="0.2">
      <c r="E359" s="10"/>
      <c r="F359" s="53"/>
      <c r="G359" s="9"/>
      <c r="J359" s="17"/>
      <c r="K359" s="17"/>
      <c r="N359" s="10"/>
    </row>
    <row r="360" spans="5:14" x14ac:dyDescent="0.2">
      <c r="E360" s="10"/>
      <c r="F360" s="53"/>
      <c r="G360" s="9"/>
      <c r="J360" s="17"/>
      <c r="K360" s="17"/>
      <c r="N360" s="10"/>
    </row>
    <row r="361" spans="5:14" x14ac:dyDescent="0.2">
      <c r="E361" s="10"/>
      <c r="F361" s="53"/>
      <c r="G361" s="9"/>
      <c r="J361" s="17"/>
      <c r="K361" s="17"/>
      <c r="N361" s="10"/>
    </row>
    <row r="362" spans="5:14" x14ac:dyDescent="0.2">
      <c r="E362" s="10"/>
      <c r="F362" s="53"/>
      <c r="G362" s="9"/>
      <c r="J362" s="17"/>
      <c r="K362" s="17"/>
      <c r="N362" s="10"/>
    </row>
    <row r="363" spans="5:14" x14ac:dyDescent="0.2">
      <c r="E363" s="10"/>
      <c r="F363" s="53"/>
      <c r="G363" s="9"/>
      <c r="J363" s="17"/>
      <c r="K363" s="17"/>
      <c r="N363" s="10"/>
    </row>
    <row r="364" spans="5:14" x14ac:dyDescent="0.2">
      <c r="E364" s="10"/>
      <c r="F364" s="53"/>
      <c r="G364" s="9"/>
      <c r="J364" s="17"/>
      <c r="K364" s="17"/>
      <c r="N364" s="10"/>
    </row>
    <row r="365" spans="5:14" x14ac:dyDescent="0.2">
      <c r="E365" s="10"/>
      <c r="F365" s="53"/>
      <c r="G365" s="9"/>
      <c r="J365" s="17"/>
      <c r="K365" s="17"/>
      <c r="N365" s="10"/>
    </row>
    <row r="366" spans="5:14" x14ac:dyDescent="0.2">
      <c r="E366" s="10"/>
      <c r="F366" s="53"/>
      <c r="G366" s="9"/>
      <c r="J366" s="17"/>
      <c r="K366" s="17"/>
      <c r="N366" s="10"/>
    </row>
    <row r="367" spans="5:14" x14ac:dyDescent="0.2">
      <c r="E367" s="10"/>
      <c r="F367" s="53"/>
      <c r="G367" s="9"/>
      <c r="J367" s="17"/>
      <c r="K367" s="17"/>
      <c r="N367" s="10"/>
    </row>
    <row r="368" spans="5:14" x14ac:dyDescent="0.2">
      <c r="E368" s="10"/>
      <c r="F368" s="53"/>
      <c r="G368" s="9"/>
      <c r="J368" s="17"/>
      <c r="K368" s="17"/>
      <c r="N368" s="10"/>
    </row>
    <row r="369" spans="5:14" x14ac:dyDescent="0.2">
      <c r="E369" s="10"/>
      <c r="F369" s="53"/>
      <c r="G369" s="9"/>
      <c r="J369" s="17"/>
      <c r="K369" s="17"/>
      <c r="N369" s="10"/>
    </row>
    <row r="370" spans="5:14" x14ac:dyDescent="0.2">
      <c r="E370" s="10"/>
      <c r="F370" s="53"/>
      <c r="G370" s="9"/>
      <c r="J370" s="17"/>
      <c r="K370" s="17"/>
      <c r="N370" s="10"/>
    </row>
    <row r="371" spans="5:14" x14ac:dyDescent="0.2">
      <c r="E371" s="10"/>
      <c r="F371" s="53"/>
      <c r="G371" s="9"/>
      <c r="J371" s="17"/>
      <c r="K371" s="17"/>
      <c r="N371" s="10"/>
    </row>
    <row r="372" spans="5:14" x14ac:dyDescent="0.2">
      <c r="E372" s="10"/>
      <c r="F372" s="53"/>
      <c r="G372" s="9"/>
      <c r="J372" s="17"/>
      <c r="K372" s="17"/>
      <c r="N372" s="10"/>
    </row>
    <row r="373" spans="5:14" x14ac:dyDescent="0.2">
      <c r="E373" s="10"/>
      <c r="F373" s="53"/>
      <c r="G373" s="9"/>
      <c r="J373" s="17"/>
      <c r="K373" s="17"/>
      <c r="N373" s="10"/>
    </row>
    <row r="374" spans="5:14" x14ac:dyDescent="0.2">
      <c r="E374" s="10"/>
      <c r="F374" s="53"/>
      <c r="G374" s="9"/>
      <c r="J374" s="17"/>
      <c r="K374" s="17"/>
      <c r="N374" s="10"/>
    </row>
    <row r="375" spans="5:14" x14ac:dyDescent="0.2">
      <c r="E375" s="10"/>
      <c r="F375" s="53"/>
      <c r="G375" s="9"/>
      <c r="J375" s="17"/>
      <c r="K375" s="17"/>
      <c r="N375" s="10"/>
    </row>
    <row r="376" spans="5:14" x14ac:dyDescent="0.2">
      <c r="E376" s="10"/>
      <c r="F376" s="53"/>
      <c r="G376" s="9"/>
      <c r="J376" s="17"/>
      <c r="K376" s="17"/>
      <c r="N376" s="10"/>
    </row>
    <row r="377" spans="5:14" x14ac:dyDescent="0.2">
      <c r="E377" s="10"/>
      <c r="F377" s="53"/>
      <c r="G377" s="9"/>
      <c r="J377" s="17"/>
      <c r="K377" s="17"/>
      <c r="N377" s="10"/>
    </row>
    <row r="378" spans="5:14" x14ac:dyDescent="0.2">
      <c r="E378" s="10"/>
      <c r="F378" s="53"/>
      <c r="G378" s="9"/>
      <c r="J378" s="17"/>
      <c r="K378" s="17"/>
      <c r="N378" s="10"/>
    </row>
    <row r="379" spans="5:14" x14ac:dyDescent="0.2">
      <c r="E379" s="10"/>
      <c r="F379" s="53"/>
      <c r="G379" s="9"/>
      <c r="J379" s="17"/>
      <c r="K379" s="17"/>
      <c r="N379" s="10"/>
    </row>
    <row r="380" spans="5:14" x14ac:dyDescent="0.2">
      <c r="E380" s="10"/>
      <c r="F380" s="53"/>
      <c r="G380" s="9"/>
      <c r="J380" s="17"/>
      <c r="K380" s="17"/>
      <c r="N380" s="10"/>
    </row>
    <row r="381" spans="5:14" x14ac:dyDescent="0.2">
      <c r="E381" s="10"/>
      <c r="F381" s="53"/>
      <c r="G381" s="9"/>
      <c r="J381" s="17"/>
      <c r="K381" s="17"/>
      <c r="N381" s="10"/>
    </row>
    <row r="382" spans="5:14" x14ac:dyDescent="0.2">
      <c r="E382" s="10"/>
      <c r="F382" s="53"/>
      <c r="G382" s="9"/>
      <c r="J382" s="17"/>
      <c r="K382" s="17"/>
      <c r="N382" s="10"/>
    </row>
    <row r="383" spans="5:14" x14ac:dyDescent="0.2">
      <c r="E383" s="10"/>
      <c r="F383" s="53"/>
      <c r="G383" s="9"/>
      <c r="J383" s="17"/>
      <c r="K383" s="17"/>
      <c r="N383" s="10"/>
    </row>
    <row r="384" spans="5:14" x14ac:dyDescent="0.2">
      <c r="E384" s="10"/>
      <c r="F384" s="53"/>
      <c r="G384" s="9"/>
      <c r="J384" s="17"/>
      <c r="K384" s="17"/>
      <c r="N384" s="10"/>
    </row>
    <row r="385" spans="5:14" x14ac:dyDescent="0.2">
      <c r="E385" s="10"/>
      <c r="F385" s="53"/>
      <c r="G385" s="9"/>
      <c r="J385" s="17"/>
      <c r="K385" s="17"/>
      <c r="N385" s="10"/>
    </row>
    <row r="386" spans="5:14" x14ac:dyDescent="0.2">
      <c r="E386" s="10"/>
      <c r="F386" s="53"/>
      <c r="G386" s="9"/>
      <c r="J386" s="17"/>
      <c r="K386" s="17"/>
      <c r="N386" s="10"/>
    </row>
    <row r="387" spans="5:14" x14ac:dyDescent="0.2">
      <c r="E387" s="10"/>
      <c r="F387" s="53"/>
      <c r="G387" s="9"/>
      <c r="J387" s="17"/>
      <c r="K387" s="17"/>
      <c r="N387" s="10"/>
    </row>
    <row r="388" spans="5:14" x14ac:dyDescent="0.2">
      <c r="E388" s="10"/>
      <c r="F388" s="53"/>
      <c r="G388" s="9"/>
      <c r="J388" s="17"/>
      <c r="K388" s="17"/>
      <c r="N388" s="10"/>
    </row>
    <row r="389" spans="5:14" x14ac:dyDescent="0.2">
      <c r="E389" s="10"/>
      <c r="F389" s="53"/>
      <c r="G389" s="9"/>
      <c r="J389" s="17"/>
      <c r="K389" s="17"/>
      <c r="N389" s="10"/>
    </row>
    <row r="390" spans="5:14" x14ac:dyDescent="0.2">
      <c r="E390" s="10"/>
      <c r="F390" s="53"/>
      <c r="G390" s="9"/>
      <c r="J390" s="17"/>
      <c r="K390" s="17"/>
      <c r="N390" s="10"/>
    </row>
    <row r="391" spans="5:14" x14ac:dyDescent="0.2">
      <c r="E391" s="10"/>
      <c r="F391" s="53"/>
      <c r="G391" s="9"/>
      <c r="J391" s="17"/>
      <c r="K391" s="17"/>
      <c r="N391" s="10"/>
    </row>
    <row r="392" spans="5:14" x14ac:dyDescent="0.2">
      <c r="E392" s="10"/>
      <c r="F392" s="53"/>
      <c r="G392" s="9"/>
      <c r="J392" s="17"/>
      <c r="K392" s="17"/>
      <c r="N392" s="10"/>
    </row>
    <row r="393" spans="5:14" x14ac:dyDescent="0.2">
      <c r="E393" s="10"/>
      <c r="F393" s="53"/>
      <c r="G393" s="9"/>
      <c r="J393" s="17"/>
      <c r="K393" s="17"/>
      <c r="N393" s="10"/>
    </row>
    <row r="394" spans="5:14" x14ac:dyDescent="0.2">
      <c r="E394" s="10"/>
      <c r="F394" s="53"/>
      <c r="G394" s="9"/>
      <c r="J394" s="17"/>
      <c r="K394" s="17"/>
      <c r="N394" s="10"/>
    </row>
    <row r="395" spans="5:14" x14ac:dyDescent="0.2">
      <c r="E395" s="10"/>
      <c r="F395" s="53"/>
      <c r="G395" s="9"/>
      <c r="J395" s="17"/>
      <c r="K395" s="17"/>
      <c r="N395" s="10"/>
    </row>
    <row r="396" spans="5:14" x14ac:dyDescent="0.2">
      <c r="E396" s="10"/>
      <c r="F396" s="53"/>
      <c r="G396" s="9"/>
      <c r="J396" s="17"/>
      <c r="K396" s="17"/>
      <c r="N396" s="10"/>
    </row>
    <row r="397" spans="5:14" x14ac:dyDescent="0.2">
      <c r="E397" s="10"/>
      <c r="F397" s="53"/>
      <c r="G397" s="9"/>
      <c r="J397" s="17"/>
      <c r="K397" s="17"/>
      <c r="N397" s="10"/>
    </row>
    <row r="398" spans="5:14" x14ac:dyDescent="0.2">
      <c r="E398" s="10"/>
      <c r="F398" s="53"/>
      <c r="G398" s="9"/>
      <c r="J398" s="17"/>
      <c r="K398" s="17"/>
      <c r="N398" s="10"/>
    </row>
    <row r="399" spans="5:14" x14ac:dyDescent="0.2">
      <c r="E399" s="10"/>
      <c r="F399" s="53"/>
      <c r="G399" s="9"/>
      <c r="J399" s="17"/>
      <c r="K399" s="17"/>
      <c r="N399" s="10"/>
    </row>
    <row r="400" spans="5:14" x14ac:dyDescent="0.2">
      <c r="E400" s="10"/>
      <c r="F400" s="53"/>
      <c r="G400" s="9"/>
      <c r="J400" s="17"/>
      <c r="K400" s="17"/>
      <c r="N400" s="10"/>
    </row>
    <row r="401" spans="5:14" x14ac:dyDescent="0.2">
      <c r="E401" s="10"/>
      <c r="F401" s="53"/>
      <c r="G401" s="9"/>
      <c r="J401" s="17"/>
      <c r="K401" s="17"/>
      <c r="N401" s="10"/>
    </row>
    <row r="402" spans="5:14" x14ac:dyDescent="0.2">
      <c r="E402" s="10"/>
      <c r="F402" s="53"/>
      <c r="G402" s="9"/>
      <c r="J402" s="17"/>
      <c r="K402" s="17"/>
      <c r="N402" s="10"/>
    </row>
    <row r="403" spans="5:14" x14ac:dyDescent="0.2">
      <c r="E403" s="10"/>
      <c r="F403" s="53"/>
      <c r="G403" s="9"/>
      <c r="J403" s="17"/>
      <c r="K403" s="17"/>
      <c r="N403" s="10"/>
    </row>
    <row r="404" spans="5:14" x14ac:dyDescent="0.2">
      <c r="E404" s="10"/>
      <c r="F404" s="53"/>
      <c r="G404" s="9"/>
      <c r="J404" s="17"/>
      <c r="K404" s="17"/>
      <c r="N404" s="10"/>
    </row>
    <row r="405" spans="5:14" x14ac:dyDescent="0.2">
      <c r="E405" s="10"/>
      <c r="F405" s="53"/>
      <c r="G405" s="9"/>
      <c r="J405" s="17"/>
      <c r="K405" s="17"/>
      <c r="N405" s="10"/>
    </row>
    <row r="406" spans="5:14" x14ac:dyDescent="0.2">
      <c r="E406" s="10"/>
      <c r="F406" s="53"/>
      <c r="G406" s="9"/>
      <c r="J406" s="17"/>
      <c r="K406" s="17"/>
      <c r="N406" s="10"/>
    </row>
    <row r="407" spans="5:14" x14ac:dyDescent="0.2">
      <c r="E407" s="10"/>
      <c r="F407" s="53"/>
      <c r="G407" s="9"/>
      <c r="J407" s="17"/>
      <c r="K407" s="17"/>
      <c r="N407" s="10"/>
    </row>
    <row r="408" spans="5:14" x14ac:dyDescent="0.2">
      <c r="E408" s="10"/>
      <c r="F408" s="53"/>
      <c r="G408" s="9"/>
      <c r="J408" s="17"/>
      <c r="K408" s="17"/>
      <c r="N408" s="10"/>
    </row>
    <row r="409" spans="5:14" x14ac:dyDescent="0.2">
      <c r="E409" s="10"/>
      <c r="F409" s="53"/>
      <c r="G409" s="9"/>
      <c r="J409" s="17"/>
      <c r="K409" s="17"/>
      <c r="N409" s="10"/>
    </row>
    <row r="410" spans="5:14" x14ac:dyDescent="0.2">
      <c r="E410" s="10"/>
      <c r="F410" s="53"/>
      <c r="G410" s="9"/>
      <c r="J410" s="17"/>
      <c r="K410" s="17"/>
      <c r="N410" s="10"/>
    </row>
    <row r="411" spans="5:14" x14ac:dyDescent="0.2">
      <c r="E411" s="10"/>
      <c r="F411" s="53"/>
      <c r="G411" s="9"/>
      <c r="J411" s="17"/>
      <c r="K411" s="17"/>
      <c r="N411" s="10"/>
    </row>
    <row r="412" spans="5:14" x14ac:dyDescent="0.2">
      <c r="E412" s="10"/>
      <c r="F412" s="53"/>
      <c r="G412" s="9"/>
      <c r="J412" s="17"/>
      <c r="K412" s="17"/>
      <c r="N412" s="10"/>
    </row>
    <row r="413" spans="5:14" x14ac:dyDescent="0.2">
      <c r="E413" s="10"/>
      <c r="F413" s="53"/>
      <c r="G413" s="9"/>
      <c r="J413" s="17"/>
      <c r="K413" s="17"/>
      <c r="N413" s="10"/>
    </row>
    <row r="414" spans="5:14" x14ac:dyDescent="0.2">
      <c r="E414" s="10"/>
      <c r="F414" s="53"/>
      <c r="G414" s="9"/>
      <c r="J414" s="17"/>
      <c r="K414" s="17"/>
      <c r="N414" s="10"/>
    </row>
    <row r="415" spans="5:14" x14ac:dyDescent="0.2">
      <c r="E415" s="10"/>
      <c r="F415" s="53"/>
      <c r="G415" s="9"/>
      <c r="J415" s="17"/>
      <c r="K415" s="17"/>
      <c r="N415" s="10"/>
    </row>
    <row r="416" spans="5:14" x14ac:dyDescent="0.2">
      <c r="E416" s="10"/>
      <c r="F416" s="53"/>
      <c r="G416" s="9"/>
      <c r="J416" s="17"/>
      <c r="K416" s="17"/>
      <c r="N416" s="10"/>
    </row>
    <row r="417" spans="5:14" x14ac:dyDescent="0.2">
      <c r="E417" s="10"/>
      <c r="F417" s="53"/>
      <c r="G417" s="9"/>
      <c r="J417" s="17"/>
      <c r="K417" s="17"/>
      <c r="N417" s="10"/>
    </row>
    <row r="418" spans="5:14" x14ac:dyDescent="0.2">
      <c r="E418" s="10"/>
      <c r="F418" s="53"/>
      <c r="G418" s="9"/>
      <c r="J418" s="17"/>
      <c r="K418" s="17"/>
      <c r="N418" s="10"/>
    </row>
    <row r="419" spans="5:14" x14ac:dyDescent="0.2">
      <c r="E419" s="10"/>
      <c r="F419" s="53"/>
      <c r="G419" s="9"/>
      <c r="J419" s="17"/>
      <c r="K419" s="17"/>
      <c r="N419" s="10"/>
    </row>
    <row r="420" spans="5:14" x14ac:dyDescent="0.2">
      <c r="E420" s="10"/>
      <c r="F420" s="53"/>
      <c r="G420" s="9"/>
      <c r="J420" s="17"/>
      <c r="K420" s="17"/>
      <c r="N420" s="10"/>
    </row>
    <row r="421" spans="5:14" x14ac:dyDescent="0.2">
      <c r="E421" s="10"/>
      <c r="F421" s="53"/>
      <c r="G421" s="9"/>
      <c r="J421" s="17"/>
      <c r="K421" s="17"/>
      <c r="N421" s="10"/>
    </row>
    <row r="422" spans="5:14" x14ac:dyDescent="0.2">
      <c r="E422" s="10"/>
      <c r="F422" s="53"/>
      <c r="G422" s="9"/>
      <c r="J422" s="17"/>
      <c r="K422" s="17"/>
      <c r="N422" s="10"/>
    </row>
    <row r="423" spans="5:14" x14ac:dyDescent="0.2">
      <c r="E423" s="10"/>
      <c r="F423" s="53"/>
      <c r="G423" s="9"/>
      <c r="J423" s="17"/>
      <c r="K423" s="17"/>
      <c r="N423" s="10"/>
    </row>
    <row r="424" spans="5:14" x14ac:dyDescent="0.2">
      <c r="E424" s="10"/>
      <c r="F424" s="53"/>
      <c r="G424" s="9"/>
      <c r="J424" s="17"/>
      <c r="K424" s="17"/>
      <c r="N424" s="10"/>
    </row>
    <row r="425" spans="5:14" x14ac:dyDescent="0.2">
      <c r="E425" s="10"/>
      <c r="F425" s="53"/>
      <c r="G425" s="9"/>
      <c r="J425" s="17"/>
      <c r="K425" s="17"/>
      <c r="N425" s="10"/>
    </row>
    <row r="426" spans="5:14" x14ac:dyDescent="0.2">
      <c r="E426" s="10"/>
      <c r="F426" s="53"/>
      <c r="G426" s="9"/>
      <c r="J426" s="17"/>
      <c r="K426" s="17"/>
      <c r="N426" s="10"/>
    </row>
    <row r="427" spans="5:14" x14ac:dyDescent="0.2">
      <c r="E427" s="10"/>
      <c r="F427" s="53"/>
      <c r="G427" s="9"/>
      <c r="J427" s="17"/>
      <c r="K427" s="17"/>
      <c r="N427" s="10"/>
    </row>
    <row r="428" spans="5:14" x14ac:dyDescent="0.2">
      <c r="E428" s="10"/>
      <c r="F428" s="53"/>
      <c r="G428" s="9"/>
      <c r="J428" s="17"/>
      <c r="K428" s="17"/>
      <c r="N428" s="10"/>
    </row>
    <row r="429" spans="5:14" x14ac:dyDescent="0.2">
      <c r="E429" s="10"/>
      <c r="F429" s="53"/>
      <c r="G429" s="9"/>
      <c r="J429" s="17"/>
      <c r="K429" s="17"/>
      <c r="N429" s="10"/>
    </row>
    <row r="430" spans="5:14" x14ac:dyDescent="0.2">
      <c r="E430" s="10"/>
      <c r="F430" s="53"/>
      <c r="G430" s="9"/>
      <c r="J430" s="17"/>
      <c r="K430" s="17"/>
      <c r="N430" s="10"/>
    </row>
    <row r="431" spans="5:14" x14ac:dyDescent="0.2">
      <c r="E431" s="10"/>
      <c r="F431" s="53"/>
      <c r="G431" s="9"/>
      <c r="J431" s="17"/>
      <c r="K431" s="17"/>
      <c r="N431" s="10"/>
    </row>
    <row r="432" spans="5:14" x14ac:dyDescent="0.2">
      <c r="E432" s="10"/>
      <c r="F432" s="53"/>
      <c r="G432" s="9"/>
      <c r="J432" s="17"/>
      <c r="K432" s="17"/>
      <c r="N432" s="10"/>
    </row>
    <row r="433" spans="5:14" x14ac:dyDescent="0.2">
      <c r="E433" s="10"/>
      <c r="F433" s="53"/>
      <c r="G433" s="9"/>
      <c r="J433" s="17"/>
      <c r="K433" s="17"/>
      <c r="N433" s="10"/>
    </row>
    <row r="434" spans="5:14" x14ac:dyDescent="0.2">
      <c r="E434" s="10"/>
      <c r="F434" s="53"/>
      <c r="G434" s="9"/>
      <c r="J434" s="17"/>
      <c r="K434" s="17"/>
      <c r="N434" s="10"/>
    </row>
    <row r="435" spans="5:14" x14ac:dyDescent="0.2">
      <c r="E435" s="10"/>
      <c r="F435" s="53"/>
      <c r="G435" s="9"/>
      <c r="J435" s="17"/>
      <c r="K435" s="17"/>
      <c r="N435" s="10"/>
    </row>
    <row r="436" spans="5:14" x14ac:dyDescent="0.2">
      <c r="E436" s="10"/>
      <c r="F436" s="53"/>
      <c r="G436" s="9"/>
      <c r="J436" s="17"/>
      <c r="K436" s="17"/>
      <c r="N436" s="10"/>
    </row>
    <row r="437" spans="5:14" x14ac:dyDescent="0.2">
      <c r="E437" s="10"/>
      <c r="F437" s="53"/>
      <c r="G437" s="9"/>
      <c r="J437" s="17"/>
      <c r="K437" s="17"/>
      <c r="N437" s="10"/>
    </row>
    <row r="438" spans="5:14" x14ac:dyDescent="0.2">
      <c r="E438" s="10"/>
      <c r="F438" s="53"/>
      <c r="G438" s="9"/>
      <c r="J438" s="17"/>
      <c r="K438" s="17"/>
      <c r="N438" s="10"/>
    </row>
    <row r="439" spans="5:14" x14ac:dyDescent="0.2">
      <c r="E439" s="10"/>
      <c r="F439" s="53"/>
      <c r="G439" s="9"/>
      <c r="J439" s="17"/>
      <c r="K439" s="17"/>
      <c r="N439" s="10"/>
    </row>
    <row r="440" spans="5:14" x14ac:dyDescent="0.2">
      <c r="E440" s="10"/>
      <c r="F440" s="53"/>
      <c r="G440" s="9"/>
      <c r="J440" s="17"/>
      <c r="K440" s="17"/>
      <c r="N440" s="10"/>
    </row>
    <row r="441" spans="5:14" x14ac:dyDescent="0.2">
      <c r="E441" s="10"/>
      <c r="F441" s="53"/>
      <c r="G441" s="9"/>
      <c r="J441" s="17"/>
      <c r="K441" s="17"/>
      <c r="N441" s="10"/>
    </row>
    <row r="442" spans="5:14" x14ac:dyDescent="0.2">
      <c r="E442" s="10"/>
      <c r="F442" s="53"/>
      <c r="G442" s="9"/>
      <c r="J442" s="17"/>
      <c r="K442" s="17"/>
      <c r="N442" s="10"/>
    </row>
    <row r="443" spans="5:14" x14ac:dyDescent="0.2">
      <c r="E443" s="10"/>
      <c r="F443" s="53"/>
      <c r="G443" s="9"/>
      <c r="J443" s="17"/>
      <c r="K443" s="17"/>
      <c r="N443" s="10"/>
    </row>
    <row r="444" spans="5:14" x14ac:dyDescent="0.2">
      <c r="E444" s="10"/>
      <c r="F444" s="53"/>
      <c r="G444" s="9"/>
      <c r="J444" s="17"/>
      <c r="K444" s="17"/>
      <c r="N444" s="10"/>
    </row>
    <row r="445" spans="5:14" x14ac:dyDescent="0.2">
      <c r="E445" s="10"/>
      <c r="F445" s="53"/>
      <c r="G445" s="9"/>
      <c r="J445" s="17"/>
      <c r="K445" s="17"/>
      <c r="N445" s="10"/>
    </row>
    <row r="446" spans="5:14" x14ac:dyDescent="0.2">
      <c r="E446" s="10"/>
      <c r="F446" s="53"/>
      <c r="G446" s="9"/>
      <c r="J446" s="17"/>
      <c r="K446" s="17"/>
      <c r="N446" s="10"/>
    </row>
    <row r="447" spans="5:14" x14ac:dyDescent="0.2">
      <c r="E447" s="10"/>
      <c r="F447" s="53"/>
      <c r="G447" s="9"/>
      <c r="J447" s="17"/>
      <c r="K447" s="17"/>
      <c r="N447" s="10"/>
    </row>
    <row r="448" spans="5:14" x14ac:dyDescent="0.2">
      <c r="E448" s="10"/>
      <c r="F448" s="53"/>
      <c r="G448" s="9"/>
      <c r="J448" s="17"/>
      <c r="K448" s="17"/>
      <c r="N448" s="10"/>
    </row>
    <row r="449" spans="5:14" x14ac:dyDescent="0.2">
      <c r="E449" s="10"/>
      <c r="F449" s="53"/>
      <c r="G449" s="9"/>
      <c r="J449" s="17"/>
      <c r="K449" s="17"/>
      <c r="N449" s="10"/>
    </row>
    <row r="450" spans="5:14" x14ac:dyDescent="0.2">
      <c r="E450" s="10"/>
      <c r="F450" s="53"/>
      <c r="G450" s="9"/>
      <c r="J450" s="17"/>
      <c r="K450" s="17"/>
      <c r="N450" s="10"/>
    </row>
    <row r="451" spans="5:14" x14ac:dyDescent="0.2">
      <c r="E451" s="10"/>
      <c r="F451" s="53"/>
      <c r="G451" s="9"/>
      <c r="J451" s="17"/>
      <c r="K451" s="17"/>
      <c r="N451" s="10"/>
    </row>
    <row r="452" spans="5:14" x14ac:dyDescent="0.2">
      <c r="E452" s="10"/>
      <c r="F452" s="53"/>
      <c r="G452" s="9"/>
      <c r="J452" s="17"/>
      <c r="K452" s="17"/>
      <c r="N452" s="10"/>
    </row>
    <row r="453" spans="5:14" x14ac:dyDescent="0.2">
      <c r="E453" s="10"/>
      <c r="F453" s="53"/>
      <c r="G453" s="9"/>
      <c r="J453" s="17"/>
      <c r="K453" s="17"/>
      <c r="N453" s="10"/>
    </row>
    <row r="454" spans="5:14" x14ac:dyDescent="0.2">
      <c r="E454" s="10"/>
      <c r="F454" s="53"/>
      <c r="G454" s="9"/>
      <c r="J454" s="17"/>
      <c r="K454" s="17"/>
      <c r="N454" s="10"/>
    </row>
    <row r="455" spans="5:14" x14ac:dyDescent="0.2">
      <c r="E455" s="10"/>
      <c r="F455" s="53"/>
      <c r="G455" s="9"/>
      <c r="J455" s="17"/>
      <c r="K455" s="17"/>
      <c r="N455" s="10"/>
    </row>
    <row r="456" spans="5:14" x14ac:dyDescent="0.2">
      <c r="E456" s="10"/>
      <c r="F456" s="53"/>
      <c r="G456" s="9"/>
      <c r="J456" s="17"/>
      <c r="K456" s="17"/>
      <c r="N456" s="10"/>
    </row>
    <row r="457" spans="5:14" x14ac:dyDescent="0.2">
      <c r="E457" s="10"/>
      <c r="F457" s="53"/>
      <c r="G457" s="9"/>
      <c r="J457" s="17"/>
      <c r="K457" s="17"/>
      <c r="N457" s="10"/>
    </row>
    <row r="458" spans="5:14" x14ac:dyDescent="0.2">
      <c r="E458" s="10"/>
      <c r="F458" s="53"/>
      <c r="G458" s="9"/>
      <c r="J458" s="17"/>
      <c r="K458" s="17"/>
      <c r="N458" s="10"/>
    </row>
    <row r="459" spans="5:14" x14ac:dyDescent="0.2">
      <c r="E459" s="10"/>
      <c r="F459" s="53"/>
      <c r="G459" s="9"/>
      <c r="J459" s="17"/>
      <c r="K459" s="17"/>
      <c r="N459" s="10"/>
    </row>
    <row r="460" spans="5:14" x14ac:dyDescent="0.2">
      <c r="E460" s="10"/>
      <c r="F460" s="53"/>
      <c r="G460" s="9"/>
      <c r="J460" s="17"/>
      <c r="K460" s="17"/>
      <c r="N460" s="10"/>
    </row>
    <row r="461" spans="5:14" x14ac:dyDescent="0.2">
      <c r="E461" s="10"/>
      <c r="F461" s="53"/>
      <c r="G461" s="9"/>
      <c r="J461" s="17"/>
      <c r="K461" s="17"/>
      <c r="N461" s="10"/>
    </row>
    <row r="462" spans="5:14" x14ac:dyDescent="0.2">
      <c r="E462" s="10"/>
      <c r="F462" s="53"/>
      <c r="G462" s="9"/>
      <c r="J462" s="17"/>
      <c r="K462" s="17"/>
      <c r="N462" s="10"/>
    </row>
    <row r="463" spans="5:14" x14ac:dyDescent="0.2">
      <c r="E463" s="10"/>
      <c r="F463" s="53"/>
      <c r="G463" s="9"/>
      <c r="J463" s="17"/>
      <c r="K463" s="17"/>
      <c r="N463" s="10"/>
    </row>
    <row r="464" spans="5:14" x14ac:dyDescent="0.2">
      <c r="E464" s="10"/>
      <c r="F464" s="53"/>
      <c r="G464" s="9"/>
      <c r="J464" s="17"/>
      <c r="K464" s="17"/>
      <c r="N464" s="10"/>
    </row>
    <row r="465" spans="5:14" x14ac:dyDescent="0.2">
      <c r="E465" s="10"/>
      <c r="F465" s="53"/>
      <c r="G465" s="9"/>
      <c r="J465" s="17"/>
      <c r="K465" s="17"/>
      <c r="N465" s="10"/>
    </row>
    <row r="466" spans="5:14" x14ac:dyDescent="0.2">
      <c r="E466" s="10"/>
      <c r="F466" s="53"/>
      <c r="G466" s="9"/>
      <c r="J466" s="17"/>
      <c r="K466" s="17"/>
      <c r="N466" s="10"/>
    </row>
    <row r="467" spans="5:14" x14ac:dyDescent="0.2">
      <c r="E467" s="10"/>
      <c r="F467" s="53"/>
      <c r="G467" s="9"/>
      <c r="J467" s="17"/>
      <c r="K467" s="17"/>
      <c r="N467" s="10"/>
    </row>
    <row r="468" spans="5:14" x14ac:dyDescent="0.2">
      <c r="E468" s="10"/>
      <c r="F468" s="53"/>
      <c r="G468" s="9"/>
      <c r="J468" s="17"/>
      <c r="K468" s="17"/>
      <c r="N468" s="10"/>
    </row>
    <row r="469" spans="5:14" x14ac:dyDescent="0.2">
      <c r="E469" s="10"/>
      <c r="F469" s="53"/>
      <c r="G469" s="9"/>
      <c r="J469" s="17"/>
      <c r="K469" s="17"/>
      <c r="N469" s="10"/>
    </row>
    <row r="470" spans="5:14" x14ac:dyDescent="0.2">
      <c r="E470" s="10"/>
      <c r="F470" s="53"/>
      <c r="G470" s="9"/>
      <c r="J470" s="17"/>
      <c r="K470" s="17"/>
      <c r="N470" s="10"/>
    </row>
    <row r="471" spans="5:14" x14ac:dyDescent="0.2">
      <c r="E471" s="10"/>
      <c r="F471" s="53"/>
      <c r="G471" s="9"/>
      <c r="J471" s="17"/>
      <c r="K471" s="17"/>
      <c r="N471" s="10"/>
    </row>
    <row r="472" spans="5:14" x14ac:dyDescent="0.2">
      <c r="E472" s="10"/>
      <c r="F472" s="53"/>
      <c r="G472" s="9"/>
      <c r="J472" s="17"/>
      <c r="K472" s="17"/>
      <c r="N472" s="10"/>
    </row>
    <row r="473" spans="5:14" x14ac:dyDescent="0.2">
      <c r="E473" s="10"/>
      <c r="F473" s="53"/>
      <c r="G473" s="9"/>
      <c r="J473" s="17"/>
      <c r="K473" s="17"/>
      <c r="N473" s="10"/>
    </row>
    <row r="474" spans="5:14" x14ac:dyDescent="0.2">
      <c r="E474" s="10"/>
      <c r="F474" s="53"/>
      <c r="G474" s="9"/>
      <c r="J474" s="17"/>
      <c r="K474" s="17"/>
      <c r="N474" s="10"/>
    </row>
    <row r="475" spans="5:14" x14ac:dyDescent="0.2">
      <c r="E475" s="10"/>
      <c r="F475" s="53"/>
      <c r="G475" s="9"/>
      <c r="J475" s="17"/>
      <c r="K475" s="17"/>
      <c r="N475" s="10"/>
    </row>
    <row r="476" spans="5:14" x14ac:dyDescent="0.2">
      <c r="E476" s="10"/>
      <c r="F476" s="53"/>
      <c r="G476" s="9"/>
      <c r="J476" s="17"/>
      <c r="K476" s="17"/>
      <c r="N476" s="10"/>
    </row>
    <row r="477" spans="5:14" x14ac:dyDescent="0.2">
      <c r="E477" s="10"/>
      <c r="F477" s="53"/>
      <c r="G477" s="9"/>
      <c r="J477" s="17"/>
      <c r="K477" s="17"/>
      <c r="N477" s="10"/>
    </row>
    <row r="478" spans="5:14" x14ac:dyDescent="0.2">
      <c r="E478" s="10"/>
      <c r="F478" s="53"/>
      <c r="G478" s="9"/>
      <c r="J478" s="17"/>
      <c r="K478" s="17"/>
      <c r="N478" s="10"/>
    </row>
    <row r="479" spans="5:14" x14ac:dyDescent="0.2">
      <c r="E479" s="10"/>
      <c r="F479" s="53"/>
      <c r="G479" s="9"/>
      <c r="J479" s="17"/>
      <c r="K479" s="17"/>
      <c r="N479" s="10"/>
    </row>
    <row r="480" spans="5:14" x14ac:dyDescent="0.2">
      <c r="E480" s="10"/>
      <c r="F480" s="53"/>
      <c r="G480" s="9"/>
      <c r="J480" s="17"/>
      <c r="K480" s="17"/>
      <c r="N480" s="10"/>
    </row>
    <row r="481" spans="5:14" x14ac:dyDescent="0.2">
      <c r="E481" s="10"/>
      <c r="F481" s="53"/>
      <c r="G481" s="9"/>
      <c r="J481" s="17"/>
      <c r="K481" s="17"/>
      <c r="N481" s="10"/>
    </row>
    <row r="482" spans="5:14" x14ac:dyDescent="0.2">
      <c r="E482" s="10"/>
      <c r="F482" s="53"/>
      <c r="G482" s="9"/>
      <c r="J482" s="17"/>
      <c r="K482" s="17"/>
      <c r="N482" s="10"/>
    </row>
    <row r="483" spans="5:14" x14ac:dyDescent="0.2">
      <c r="E483" s="10"/>
      <c r="F483" s="53"/>
      <c r="G483" s="9"/>
      <c r="J483" s="17"/>
      <c r="K483" s="17"/>
      <c r="N483" s="10"/>
    </row>
    <row r="484" spans="5:14" x14ac:dyDescent="0.2">
      <c r="E484" s="10"/>
      <c r="F484" s="53"/>
      <c r="G484" s="9"/>
      <c r="J484" s="17"/>
      <c r="K484" s="17"/>
      <c r="N484" s="10"/>
    </row>
    <row r="485" spans="5:14" x14ac:dyDescent="0.2">
      <c r="E485" s="10"/>
      <c r="F485" s="53"/>
      <c r="G485" s="9"/>
      <c r="J485" s="17"/>
      <c r="K485" s="17"/>
      <c r="N485" s="10"/>
    </row>
    <row r="486" spans="5:14" x14ac:dyDescent="0.2">
      <c r="E486" s="10"/>
      <c r="F486" s="53"/>
      <c r="G486" s="9"/>
      <c r="J486" s="17"/>
      <c r="K486" s="17"/>
      <c r="N486" s="10"/>
    </row>
    <row r="487" spans="5:14" x14ac:dyDescent="0.2">
      <c r="E487" s="10"/>
      <c r="F487" s="53"/>
      <c r="G487" s="9"/>
      <c r="J487" s="17"/>
      <c r="K487" s="17"/>
      <c r="N487" s="10"/>
    </row>
    <row r="488" spans="5:14" x14ac:dyDescent="0.2">
      <c r="E488" s="10"/>
      <c r="F488" s="53"/>
      <c r="G488" s="9"/>
      <c r="J488" s="17"/>
      <c r="K488" s="17"/>
      <c r="N488" s="10"/>
    </row>
    <row r="489" spans="5:14" x14ac:dyDescent="0.2">
      <c r="E489" s="10"/>
      <c r="F489" s="53"/>
      <c r="G489" s="9"/>
      <c r="J489" s="17"/>
      <c r="K489" s="17"/>
      <c r="N489" s="10"/>
    </row>
    <row r="490" spans="5:14" x14ac:dyDescent="0.2">
      <c r="E490" s="10"/>
      <c r="F490" s="53"/>
      <c r="G490" s="9"/>
      <c r="J490" s="17"/>
      <c r="K490" s="17"/>
      <c r="N490" s="10"/>
    </row>
    <row r="491" spans="5:14" x14ac:dyDescent="0.2">
      <c r="E491" s="10"/>
      <c r="F491" s="53"/>
      <c r="G491" s="9"/>
      <c r="J491" s="17"/>
      <c r="K491" s="17"/>
      <c r="N491" s="10"/>
    </row>
    <row r="492" spans="5:14" x14ac:dyDescent="0.2">
      <c r="E492" s="10"/>
      <c r="F492" s="53"/>
      <c r="G492" s="9"/>
      <c r="J492" s="17"/>
      <c r="K492" s="17"/>
      <c r="N492" s="10"/>
    </row>
    <row r="493" spans="5:14" x14ac:dyDescent="0.2">
      <c r="E493" s="10"/>
      <c r="F493" s="53"/>
      <c r="G493" s="9"/>
      <c r="J493" s="17"/>
      <c r="K493" s="17"/>
      <c r="N493" s="10"/>
    </row>
    <row r="494" spans="5:14" x14ac:dyDescent="0.2">
      <c r="E494" s="10"/>
      <c r="F494" s="53"/>
      <c r="G494" s="9"/>
      <c r="J494" s="17"/>
      <c r="K494" s="17"/>
      <c r="N494" s="10"/>
    </row>
    <row r="495" spans="5:14" x14ac:dyDescent="0.2">
      <c r="E495" s="10"/>
      <c r="F495" s="53"/>
      <c r="G495" s="9"/>
      <c r="J495" s="17"/>
      <c r="K495" s="17"/>
      <c r="N495" s="10"/>
    </row>
    <row r="496" spans="5:14" x14ac:dyDescent="0.2">
      <c r="E496" s="10"/>
      <c r="F496" s="53"/>
      <c r="G496" s="9"/>
      <c r="J496" s="17"/>
      <c r="K496" s="17"/>
      <c r="N496" s="10"/>
    </row>
    <row r="497" spans="5:14" x14ac:dyDescent="0.2">
      <c r="E497" s="10"/>
      <c r="F497" s="53"/>
      <c r="G497" s="9"/>
      <c r="J497" s="17"/>
      <c r="K497" s="17"/>
      <c r="N497" s="10"/>
    </row>
    <row r="498" spans="5:14" x14ac:dyDescent="0.2">
      <c r="E498" s="10"/>
      <c r="F498" s="53"/>
      <c r="G498" s="9"/>
      <c r="J498" s="17"/>
      <c r="K498" s="17"/>
      <c r="N498" s="10"/>
    </row>
    <row r="499" spans="5:14" x14ac:dyDescent="0.2">
      <c r="E499" s="10"/>
      <c r="F499" s="53"/>
      <c r="G499" s="9"/>
      <c r="J499" s="17"/>
      <c r="K499" s="17"/>
      <c r="N499" s="10"/>
    </row>
    <row r="500" spans="5:14" x14ac:dyDescent="0.2">
      <c r="E500" s="10"/>
      <c r="F500" s="53"/>
      <c r="G500" s="9"/>
      <c r="J500" s="17"/>
      <c r="K500" s="17"/>
      <c r="N500" s="10"/>
    </row>
    <row r="501" spans="5:14" x14ac:dyDescent="0.2">
      <c r="E501" s="10"/>
      <c r="F501" s="53"/>
      <c r="G501" s="9"/>
      <c r="J501" s="17"/>
      <c r="K501" s="17"/>
      <c r="N501" s="10"/>
    </row>
    <row r="502" spans="5:14" x14ac:dyDescent="0.2">
      <c r="E502" s="10"/>
      <c r="F502" s="53"/>
      <c r="G502" s="9"/>
      <c r="J502" s="17"/>
      <c r="K502" s="17"/>
      <c r="N502" s="10"/>
    </row>
    <row r="503" spans="5:14" x14ac:dyDescent="0.2">
      <c r="E503" s="10"/>
      <c r="F503" s="53"/>
      <c r="G503" s="9"/>
      <c r="J503" s="17"/>
      <c r="K503" s="17"/>
      <c r="N503" s="10"/>
    </row>
    <row r="504" spans="5:14" x14ac:dyDescent="0.2">
      <c r="E504" s="10"/>
      <c r="F504" s="53"/>
      <c r="G504" s="9"/>
      <c r="J504" s="17"/>
      <c r="K504" s="17"/>
      <c r="N504" s="10"/>
    </row>
    <row r="505" spans="5:14" x14ac:dyDescent="0.2">
      <c r="E505" s="10"/>
      <c r="F505" s="53"/>
      <c r="G505" s="9"/>
      <c r="J505" s="17"/>
      <c r="K505" s="17"/>
      <c r="N505" s="10"/>
    </row>
    <row r="506" spans="5:14" x14ac:dyDescent="0.2">
      <c r="E506" s="10"/>
      <c r="F506" s="53"/>
      <c r="G506" s="9"/>
      <c r="J506" s="17"/>
      <c r="K506" s="17"/>
      <c r="N506" s="10"/>
    </row>
    <row r="507" spans="5:14" x14ac:dyDescent="0.2">
      <c r="E507" s="10"/>
      <c r="F507" s="53"/>
      <c r="G507" s="9"/>
      <c r="J507" s="17"/>
      <c r="K507" s="17"/>
      <c r="N507" s="10"/>
    </row>
    <row r="508" spans="5:14" x14ac:dyDescent="0.2">
      <c r="E508" s="10"/>
      <c r="F508" s="53"/>
      <c r="G508" s="9"/>
      <c r="J508" s="17"/>
      <c r="K508" s="17"/>
      <c r="N508" s="10"/>
    </row>
    <row r="509" spans="5:14" x14ac:dyDescent="0.2">
      <c r="E509" s="10"/>
      <c r="F509" s="53"/>
      <c r="G509" s="9"/>
      <c r="J509" s="17"/>
      <c r="K509" s="17"/>
      <c r="N509" s="10"/>
    </row>
    <row r="510" spans="5:14" x14ac:dyDescent="0.2">
      <c r="E510" s="10"/>
      <c r="F510" s="53"/>
      <c r="G510" s="9"/>
      <c r="J510" s="17"/>
      <c r="K510" s="17"/>
      <c r="N510" s="10"/>
    </row>
    <row r="511" spans="5:14" x14ac:dyDescent="0.2">
      <c r="E511" s="10"/>
      <c r="F511" s="53"/>
      <c r="G511" s="9"/>
      <c r="J511" s="17"/>
      <c r="K511" s="17"/>
      <c r="N511" s="10"/>
    </row>
    <row r="512" spans="5:14" x14ac:dyDescent="0.2">
      <c r="E512" s="10"/>
      <c r="F512" s="53"/>
      <c r="G512" s="9"/>
      <c r="J512" s="17"/>
      <c r="K512" s="17"/>
      <c r="N512" s="10"/>
    </row>
    <row r="513" spans="5:14" x14ac:dyDescent="0.2">
      <c r="E513" s="10"/>
      <c r="F513" s="53"/>
      <c r="G513" s="9"/>
      <c r="J513" s="17"/>
      <c r="K513" s="17"/>
      <c r="N513" s="10"/>
    </row>
    <row r="514" spans="5:14" x14ac:dyDescent="0.2">
      <c r="E514" s="10"/>
      <c r="F514" s="53"/>
      <c r="G514" s="9"/>
      <c r="J514" s="17"/>
      <c r="K514" s="17"/>
      <c r="N514" s="10"/>
    </row>
    <row r="515" spans="5:14" x14ac:dyDescent="0.2">
      <c r="E515" s="10"/>
      <c r="F515" s="53"/>
      <c r="G515" s="9"/>
      <c r="J515" s="17"/>
      <c r="K515" s="17"/>
      <c r="N515" s="10"/>
    </row>
    <row r="516" spans="5:14" x14ac:dyDescent="0.2">
      <c r="E516" s="10"/>
      <c r="F516" s="53"/>
      <c r="G516" s="9"/>
      <c r="J516" s="17"/>
      <c r="K516" s="17"/>
      <c r="N516" s="10"/>
    </row>
    <row r="517" spans="5:14" x14ac:dyDescent="0.2">
      <c r="E517" s="10"/>
      <c r="F517" s="53"/>
      <c r="G517" s="9"/>
      <c r="J517" s="17"/>
      <c r="K517" s="17"/>
      <c r="N517" s="10"/>
    </row>
    <row r="518" spans="5:14" x14ac:dyDescent="0.2">
      <c r="E518" s="10"/>
      <c r="F518" s="53"/>
      <c r="G518" s="9"/>
      <c r="J518" s="17"/>
      <c r="K518" s="17"/>
      <c r="N518" s="10"/>
    </row>
    <row r="519" spans="5:14" x14ac:dyDescent="0.2">
      <c r="E519" s="10"/>
      <c r="F519" s="53"/>
      <c r="G519" s="9"/>
      <c r="J519" s="17"/>
      <c r="K519" s="17"/>
      <c r="N519" s="10"/>
    </row>
    <row r="520" spans="5:14" x14ac:dyDescent="0.2">
      <c r="E520" s="10"/>
      <c r="F520" s="53"/>
      <c r="G520" s="9"/>
      <c r="J520" s="17"/>
      <c r="K520" s="17"/>
      <c r="N520" s="10"/>
    </row>
    <row r="521" spans="5:14" x14ac:dyDescent="0.2">
      <c r="E521" s="10"/>
      <c r="F521" s="53"/>
      <c r="G521" s="9"/>
      <c r="J521" s="17"/>
      <c r="K521" s="17"/>
      <c r="N521" s="10"/>
    </row>
    <row r="522" spans="5:14" x14ac:dyDescent="0.2">
      <c r="E522" s="10"/>
      <c r="F522" s="53"/>
      <c r="G522" s="9"/>
      <c r="J522" s="17"/>
      <c r="K522" s="17"/>
      <c r="N522" s="10"/>
    </row>
    <row r="523" spans="5:14" x14ac:dyDescent="0.2">
      <c r="E523" s="10"/>
      <c r="F523" s="53"/>
      <c r="G523" s="9"/>
      <c r="J523" s="17"/>
      <c r="K523" s="17"/>
      <c r="N523" s="10"/>
    </row>
    <row r="524" spans="5:14" x14ac:dyDescent="0.2">
      <c r="E524" s="10"/>
      <c r="F524" s="53"/>
      <c r="G524" s="9"/>
      <c r="J524" s="17"/>
      <c r="K524" s="17"/>
      <c r="N524" s="10"/>
    </row>
    <row r="525" spans="5:14" x14ac:dyDescent="0.2">
      <c r="E525" s="10"/>
      <c r="F525" s="53"/>
      <c r="G525" s="9"/>
      <c r="J525" s="17"/>
      <c r="K525" s="17"/>
      <c r="N525" s="10"/>
    </row>
    <row r="526" spans="5:14" x14ac:dyDescent="0.2">
      <c r="E526" s="10"/>
      <c r="F526" s="53"/>
      <c r="G526" s="9"/>
      <c r="J526" s="17"/>
      <c r="K526" s="17"/>
      <c r="N526" s="10"/>
    </row>
    <row r="527" spans="5:14" x14ac:dyDescent="0.2">
      <c r="E527" s="10"/>
      <c r="F527" s="53"/>
      <c r="G527" s="9"/>
      <c r="J527" s="17"/>
      <c r="K527" s="17"/>
      <c r="N527" s="10"/>
    </row>
    <row r="528" spans="5:14" x14ac:dyDescent="0.2">
      <c r="E528" s="10"/>
      <c r="F528" s="53"/>
      <c r="G528" s="9"/>
      <c r="J528" s="17"/>
      <c r="K528" s="17"/>
      <c r="N528" s="10"/>
    </row>
    <row r="529" spans="5:14" x14ac:dyDescent="0.2">
      <c r="E529" s="10"/>
      <c r="F529" s="53"/>
      <c r="G529" s="9"/>
      <c r="J529" s="17"/>
      <c r="K529" s="17"/>
      <c r="N529" s="10"/>
    </row>
    <row r="530" spans="5:14" x14ac:dyDescent="0.2">
      <c r="E530" s="10"/>
      <c r="F530" s="53"/>
      <c r="G530" s="9"/>
      <c r="J530" s="17"/>
      <c r="K530" s="17"/>
      <c r="N530" s="10"/>
    </row>
    <row r="531" spans="5:14" x14ac:dyDescent="0.2">
      <c r="E531" s="10"/>
      <c r="F531" s="53"/>
      <c r="G531" s="9"/>
      <c r="J531" s="17"/>
      <c r="K531" s="17"/>
      <c r="N531" s="10"/>
    </row>
    <row r="532" spans="5:14" x14ac:dyDescent="0.2">
      <c r="E532" s="10"/>
      <c r="F532" s="53"/>
      <c r="G532" s="9"/>
      <c r="J532" s="17"/>
      <c r="K532" s="17"/>
      <c r="N532" s="10"/>
    </row>
    <row r="533" spans="5:14" x14ac:dyDescent="0.2">
      <c r="E533" s="10"/>
      <c r="F533" s="53"/>
      <c r="G533" s="9"/>
      <c r="J533" s="17"/>
      <c r="K533" s="17"/>
      <c r="N533" s="10"/>
    </row>
    <row r="534" spans="5:14" x14ac:dyDescent="0.2">
      <c r="E534" s="10"/>
      <c r="F534" s="53"/>
      <c r="G534" s="9"/>
      <c r="J534" s="17"/>
      <c r="K534" s="17"/>
      <c r="N534" s="10"/>
    </row>
    <row r="535" spans="5:14" x14ac:dyDescent="0.2">
      <c r="E535" s="10"/>
      <c r="F535" s="53"/>
      <c r="G535" s="9"/>
      <c r="J535" s="17"/>
      <c r="K535" s="17"/>
      <c r="N535" s="10"/>
    </row>
    <row r="536" spans="5:14" x14ac:dyDescent="0.2">
      <c r="E536" s="10"/>
      <c r="F536" s="53"/>
      <c r="G536" s="9"/>
      <c r="J536" s="17"/>
      <c r="K536" s="17"/>
      <c r="N536" s="10"/>
    </row>
    <row r="537" spans="5:14" x14ac:dyDescent="0.2">
      <c r="E537" s="10"/>
      <c r="F537" s="53"/>
      <c r="G537" s="9"/>
      <c r="J537" s="17"/>
      <c r="K537" s="17"/>
      <c r="N537" s="10"/>
    </row>
    <row r="538" spans="5:14" x14ac:dyDescent="0.2">
      <c r="E538" s="10"/>
      <c r="F538" s="53"/>
      <c r="G538" s="9"/>
      <c r="J538" s="17"/>
      <c r="K538" s="17"/>
      <c r="N538" s="10"/>
    </row>
    <row r="539" spans="5:14" x14ac:dyDescent="0.2">
      <c r="E539" s="10"/>
      <c r="F539" s="53"/>
      <c r="G539" s="9"/>
      <c r="J539" s="17"/>
      <c r="K539" s="17"/>
      <c r="N539" s="10"/>
    </row>
    <row r="540" spans="5:14" x14ac:dyDescent="0.2">
      <c r="E540" s="10"/>
      <c r="F540" s="53"/>
      <c r="G540" s="9"/>
      <c r="J540" s="17"/>
      <c r="K540" s="17"/>
      <c r="N540" s="10"/>
    </row>
    <row r="541" spans="5:14" x14ac:dyDescent="0.2">
      <c r="E541" s="10"/>
      <c r="F541" s="53"/>
      <c r="G541" s="9"/>
      <c r="J541" s="17"/>
      <c r="K541" s="17"/>
      <c r="N541" s="10"/>
    </row>
    <row r="542" spans="5:14" x14ac:dyDescent="0.2">
      <c r="E542" s="10"/>
      <c r="F542" s="53"/>
      <c r="G542" s="9"/>
      <c r="J542" s="17"/>
      <c r="K542" s="17"/>
      <c r="N542" s="10"/>
    </row>
    <row r="543" spans="5:14" x14ac:dyDescent="0.2">
      <c r="E543" s="10"/>
      <c r="F543" s="53"/>
      <c r="G543" s="9"/>
      <c r="J543" s="17"/>
      <c r="K543" s="17"/>
      <c r="N543" s="10"/>
    </row>
    <row r="544" spans="5:14" x14ac:dyDescent="0.2">
      <c r="E544" s="10"/>
      <c r="F544" s="53"/>
      <c r="G544" s="9"/>
      <c r="J544" s="17"/>
      <c r="K544" s="17"/>
      <c r="N544" s="10"/>
    </row>
    <row r="545" spans="5:14" x14ac:dyDescent="0.2">
      <c r="E545" s="10"/>
      <c r="F545" s="53"/>
      <c r="G545" s="9"/>
      <c r="J545" s="17"/>
      <c r="K545" s="17"/>
      <c r="N545" s="10"/>
    </row>
    <row r="546" spans="5:14" x14ac:dyDescent="0.2">
      <c r="E546" s="10"/>
      <c r="F546" s="53"/>
      <c r="G546" s="9"/>
      <c r="J546" s="17"/>
      <c r="K546" s="17"/>
      <c r="N546" s="10"/>
    </row>
    <row r="547" spans="5:14" x14ac:dyDescent="0.2">
      <c r="E547" s="10"/>
      <c r="F547" s="53"/>
      <c r="G547" s="9"/>
      <c r="J547" s="17"/>
      <c r="K547" s="17"/>
      <c r="N547" s="10"/>
    </row>
    <row r="548" spans="5:14" x14ac:dyDescent="0.2">
      <c r="E548" s="10"/>
      <c r="F548" s="53"/>
      <c r="G548" s="9"/>
      <c r="J548" s="17"/>
      <c r="K548" s="17"/>
      <c r="N548" s="10"/>
    </row>
    <row r="549" spans="5:14" x14ac:dyDescent="0.2">
      <c r="E549" s="10"/>
      <c r="F549" s="53"/>
      <c r="G549" s="9"/>
      <c r="J549" s="17"/>
      <c r="K549" s="17"/>
      <c r="N549" s="10"/>
    </row>
    <row r="550" spans="5:14" x14ac:dyDescent="0.2">
      <c r="E550" s="10"/>
      <c r="F550" s="53"/>
      <c r="G550" s="9"/>
      <c r="J550" s="17"/>
      <c r="K550" s="17"/>
      <c r="N550" s="10"/>
    </row>
    <row r="551" spans="5:14" x14ac:dyDescent="0.2">
      <c r="E551" s="10"/>
      <c r="F551" s="53"/>
      <c r="G551" s="9"/>
      <c r="J551" s="17"/>
      <c r="K551" s="17"/>
      <c r="N551" s="10"/>
    </row>
    <row r="552" spans="5:14" x14ac:dyDescent="0.2">
      <c r="E552" s="10"/>
      <c r="F552" s="53"/>
      <c r="G552" s="9"/>
      <c r="J552" s="17"/>
      <c r="K552" s="17"/>
      <c r="N552" s="10"/>
    </row>
    <row r="553" spans="5:14" x14ac:dyDescent="0.2">
      <c r="E553" s="10"/>
      <c r="F553" s="53"/>
      <c r="G553" s="9"/>
      <c r="J553" s="17"/>
      <c r="K553" s="17"/>
      <c r="N553" s="10"/>
    </row>
    <row r="554" spans="5:14" x14ac:dyDescent="0.2">
      <c r="E554" s="10"/>
      <c r="F554" s="53"/>
      <c r="G554" s="9"/>
      <c r="J554" s="17"/>
      <c r="K554" s="17"/>
      <c r="N554" s="10"/>
    </row>
    <row r="555" spans="5:14" x14ac:dyDescent="0.2">
      <c r="E555" s="10"/>
      <c r="F555" s="53"/>
      <c r="G555" s="9"/>
      <c r="J555" s="17"/>
      <c r="K555" s="17"/>
      <c r="N555" s="10"/>
    </row>
    <row r="556" spans="5:14" x14ac:dyDescent="0.2">
      <c r="E556" s="10"/>
      <c r="F556" s="53"/>
      <c r="G556" s="9"/>
      <c r="J556" s="17"/>
      <c r="K556" s="17"/>
      <c r="N556" s="10"/>
    </row>
    <row r="557" spans="5:14" x14ac:dyDescent="0.2">
      <c r="E557" s="10"/>
      <c r="F557" s="53"/>
      <c r="G557" s="9"/>
      <c r="J557" s="17"/>
      <c r="K557" s="17"/>
      <c r="N557" s="10"/>
    </row>
    <row r="558" spans="5:14" x14ac:dyDescent="0.2">
      <c r="E558" s="10"/>
      <c r="F558" s="53"/>
      <c r="G558" s="9"/>
      <c r="J558" s="17"/>
      <c r="K558" s="17"/>
      <c r="N558" s="10"/>
    </row>
    <row r="559" spans="5:14" x14ac:dyDescent="0.2">
      <c r="E559" s="10"/>
      <c r="F559" s="53"/>
      <c r="G559" s="9"/>
      <c r="J559" s="17"/>
      <c r="K559" s="17"/>
      <c r="N559" s="10"/>
    </row>
    <row r="560" spans="5:14" x14ac:dyDescent="0.2">
      <c r="E560" s="10"/>
      <c r="F560" s="53"/>
      <c r="G560" s="9"/>
      <c r="J560" s="17"/>
      <c r="K560" s="17"/>
      <c r="N560" s="10"/>
    </row>
    <row r="561" spans="5:14" x14ac:dyDescent="0.2">
      <c r="E561" s="10"/>
      <c r="F561" s="53"/>
      <c r="G561" s="9"/>
      <c r="J561" s="17"/>
      <c r="K561" s="17"/>
      <c r="N561" s="10"/>
    </row>
    <row r="562" spans="5:14" x14ac:dyDescent="0.2">
      <c r="E562" s="10"/>
      <c r="F562" s="53"/>
      <c r="G562" s="9"/>
      <c r="J562" s="17"/>
      <c r="K562" s="17"/>
      <c r="N562" s="10"/>
    </row>
    <row r="563" spans="5:14" x14ac:dyDescent="0.2">
      <c r="E563" s="10"/>
      <c r="F563" s="53"/>
      <c r="G563" s="9"/>
      <c r="J563" s="17"/>
      <c r="K563" s="17"/>
      <c r="N563" s="10"/>
    </row>
    <row r="564" spans="5:14" x14ac:dyDescent="0.2">
      <c r="E564" s="10"/>
      <c r="F564" s="53"/>
      <c r="G564" s="9"/>
      <c r="J564" s="17"/>
      <c r="K564" s="17"/>
      <c r="N564" s="10"/>
    </row>
    <row r="565" spans="5:14" x14ac:dyDescent="0.2">
      <c r="E565" s="10"/>
      <c r="F565" s="53"/>
      <c r="G565" s="9"/>
      <c r="J565" s="17"/>
      <c r="K565" s="17"/>
      <c r="N565" s="10"/>
    </row>
    <row r="566" spans="5:14" x14ac:dyDescent="0.2">
      <c r="E566" s="10"/>
      <c r="F566" s="53"/>
      <c r="G566" s="9"/>
      <c r="J566" s="17"/>
      <c r="K566" s="17"/>
      <c r="N566" s="10"/>
    </row>
    <row r="567" spans="5:14" x14ac:dyDescent="0.2">
      <c r="E567" s="10"/>
      <c r="F567" s="53"/>
      <c r="G567" s="9"/>
      <c r="J567" s="17"/>
      <c r="K567" s="17"/>
      <c r="N567" s="10"/>
    </row>
    <row r="568" spans="5:14" x14ac:dyDescent="0.2">
      <c r="E568" s="10"/>
      <c r="F568" s="53"/>
      <c r="G568" s="9"/>
      <c r="J568" s="17"/>
      <c r="K568" s="17"/>
      <c r="N568" s="10"/>
    </row>
    <row r="569" spans="5:14" x14ac:dyDescent="0.2">
      <c r="E569" s="10"/>
      <c r="F569" s="53"/>
      <c r="G569" s="9"/>
      <c r="J569" s="17"/>
      <c r="K569" s="17"/>
      <c r="N569" s="10"/>
    </row>
    <row r="570" spans="5:14" x14ac:dyDescent="0.2">
      <c r="E570" s="10"/>
      <c r="F570" s="53"/>
      <c r="G570" s="9"/>
      <c r="J570" s="17"/>
      <c r="K570" s="17"/>
      <c r="N570" s="10"/>
    </row>
    <row r="571" spans="5:14" x14ac:dyDescent="0.2">
      <c r="E571" s="10"/>
      <c r="F571" s="53"/>
      <c r="G571" s="9"/>
      <c r="J571" s="17"/>
      <c r="K571" s="17"/>
      <c r="N571" s="10"/>
    </row>
    <row r="572" spans="5:14" x14ac:dyDescent="0.2">
      <c r="E572" s="10"/>
      <c r="F572" s="53"/>
      <c r="G572" s="9"/>
      <c r="J572" s="17"/>
      <c r="K572" s="17"/>
      <c r="N572" s="10"/>
    </row>
    <row r="573" spans="5:14" x14ac:dyDescent="0.2">
      <c r="E573" s="10"/>
      <c r="F573" s="53"/>
      <c r="G573" s="9"/>
      <c r="J573" s="17"/>
      <c r="K573" s="17"/>
      <c r="N573" s="10"/>
    </row>
    <row r="574" spans="5:14" x14ac:dyDescent="0.2">
      <c r="E574" s="10"/>
      <c r="F574" s="53"/>
      <c r="G574" s="9"/>
      <c r="J574" s="17"/>
      <c r="K574" s="17"/>
      <c r="N574" s="10"/>
    </row>
    <row r="575" spans="5:14" x14ac:dyDescent="0.2">
      <c r="E575" s="10"/>
      <c r="F575" s="53"/>
      <c r="G575" s="9"/>
      <c r="J575" s="17"/>
      <c r="K575" s="17"/>
      <c r="N575" s="10"/>
    </row>
    <row r="576" spans="5:14" x14ac:dyDescent="0.2">
      <c r="E576" s="10"/>
      <c r="F576" s="53"/>
      <c r="G576" s="9"/>
      <c r="J576" s="17"/>
      <c r="K576" s="17"/>
      <c r="N576" s="10"/>
    </row>
    <row r="577" spans="5:14" x14ac:dyDescent="0.2">
      <c r="E577" s="10"/>
      <c r="F577" s="53"/>
      <c r="G577" s="9"/>
      <c r="J577" s="17"/>
      <c r="K577" s="17"/>
      <c r="N577" s="10"/>
    </row>
    <row r="578" spans="5:14" x14ac:dyDescent="0.2">
      <c r="E578" s="10"/>
      <c r="F578" s="53"/>
      <c r="G578" s="9"/>
      <c r="J578" s="17"/>
      <c r="K578" s="17"/>
      <c r="N578" s="10"/>
    </row>
    <row r="579" spans="5:14" x14ac:dyDescent="0.2">
      <c r="E579" s="10"/>
      <c r="F579" s="53"/>
      <c r="G579" s="9"/>
      <c r="J579" s="17"/>
      <c r="K579" s="17"/>
      <c r="N579" s="10"/>
    </row>
    <row r="580" spans="5:14" x14ac:dyDescent="0.2">
      <c r="E580" s="10"/>
      <c r="F580" s="53"/>
      <c r="G580" s="9"/>
      <c r="J580" s="17"/>
      <c r="K580" s="17"/>
      <c r="N580" s="10"/>
    </row>
    <row r="581" spans="5:14" x14ac:dyDescent="0.2">
      <c r="E581" s="10"/>
      <c r="F581" s="53"/>
      <c r="G581" s="9"/>
      <c r="J581" s="17"/>
      <c r="K581" s="17"/>
      <c r="N581" s="10"/>
    </row>
    <row r="582" spans="5:14" x14ac:dyDescent="0.2">
      <c r="E582" s="10"/>
      <c r="F582" s="53"/>
      <c r="G582" s="9"/>
      <c r="J582" s="17"/>
      <c r="K582" s="17"/>
      <c r="N582" s="10"/>
    </row>
    <row r="583" spans="5:14" x14ac:dyDescent="0.2">
      <c r="E583" s="10"/>
      <c r="F583" s="53"/>
      <c r="G583" s="9"/>
      <c r="J583" s="17"/>
      <c r="K583" s="17"/>
      <c r="N583" s="10"/>
    </row>
    <row r="584" spans="5:14" x14ac:dyDescent="0.2">
      <c r="E584" s="10"/>
      <c r="F584" s="53"/>
      <c r="G584" s="9"/>
      <c r="J584" s="17"/>
      <c r="K584" s="17"/>
      <c r="N584" s="10"/>
    </row>
    <row r="585" spans="5:14" x14ac:dyDescent="0.2">
      <c r="E585" s="10"/>
      <c r="F585" s="53"/>
      <c r="G585" s="9"/>
      <c r="J585" s="17"/>
      <c r="K585" s="17"/>
      <c r="N585" s="10"/>
    </row>
    <row r="586" spans="5:14" x14ac:dyDescent="0.2">
      <c r="E586" s="10"/>
      <c r="F586" s="53"/>
      <c r="G586" s="9"/>
      <c r="J586" s="17"/>
      <c r="K586" s="17"/>
      <c r="N586" s="10"/>
    </row>
    <row r="587" spans="5:14" x14ac:dyDescent="0.2">
      <c r="E587" s="10"/>
      <c r="F587" s="53"/>
      <c r="G587" s="9"/>
      <c r="J587" s="17"/>
      <c r="K587" s="17"/>
      <c r="N587" s="10"/>
    </row>
    <row r="588" spans="5:14" x14ac:dyDescent="0.2">
      <c r="E588" s="10"/>
      <c r="F588" s="53"/>
      <c r="G588" s="9"/>
      <c r="J588" s="17"/>
      <c r="K588" s="17"/>
      <c r="N588" s="10"/>
    </row>
    <row r="589" spans="5:14" x14ac:dyDescent="0.2">
      <c r="E589" s="10"/>
      <c r="F589" s="53"/>
      <c r="G589" s="9"/>
      <c r="J589" s="17"/>
      <c r="K589" s="17"/>
      <c r="N589" s="10"/>
    </row>
    <row r="590" spans="5:14" x14ac:dyDescent="0.2">
      <c r="E590" s="10"/>
      <c r="F590" s="53"/>
      <c r="G590" s="9"/>
      <c r="J590" s="17"/>
      <c r="K590" s="17"/>
      <c r="N590" s="10"/>
    </row>
    <row r="591" spans="5:14" x14ac:dyDescent="0.2">
      <c r="E591" s="10"/>
      <c r="F591" s="53"/>
      <c r="G591" s="9"/>
      <c r="J591" s="17"/>
      <c r="K591" s="17"/>
      <c r="N591" s="10"/>
    </row>
    <row r="592" spans="5:14" x14ac:dyDescent="0.2">
      <c r="E592" s="10"/>
      <c r="F592" s="53"/>
      <c r="G592" s="9"/>
      <c r="J592" s="17"/>
      <c r="K592" s="17"/>
      <c r="N592" s="10"/>
    </row>
    <row r="593" spans="5:14" x14ac:dyDescent="0.2">
      <c r="E593" s="10"/>
      <c r="F593" s="53"/>
      <c r="G593" s="9"/>
      <c r="J593" s="17"/>
      <c r="K593" s="17"/>
      <c r="N593" s="10"/>
    </row>
    <row r="594" spans="5:14" x14ac:dyDescent="0.2">
      <c r="E594" s="10"/>
      <c r="F594" s="53"/>
      <c r="G594" s="9"/>
      <c r="J594" s="17"/>
      <c r="K594" s="17"/>
      <c r="N594" s="10"/>
    </row>
    <row r="595" spans="5:14" x14ac:dyDescent="0.2">
      <c r="E595" s="10"/>
      <c r="F595" s="53"/>
      <c r="G595" s="9"/>
      <c r="J595" s="17"/>
      <c r="K595" s="17"/>
      <c r="N595" s="10"/>
    </row>
    <row r="596" spans="5:14" x14ac:dyDescent="0.2">
      <c r="E596" s="10"/>
      <c r="F596" s="53"/>
      <c r="G596" s="9"/>
      <c r="J596" s="17"/>
      <c r="K596" s="17"/>
      <c r="N596" s="10"/>
    </row>
    <row r="597" spans="5:14" x14ac:dyDescent="0.2">
      <c r="E597" s="10"/>
      <c r="F597" s="53"/>
      <c r="G597" s="9"/>
      <c r="J597" s="17"/>
      <c r="K597" s="17"/>
      <c r="N597" s="10"/>
    </row>
    <row r="598" spans="5:14" x14ac:dyDescent="0.2">
      <c r="E598" s="10"/>
      <c r="F598" s="53"/>
      <c r="G598" s="9"/>
      <c r="J598" s="17"/>
      <c r="K598" s="17"/>
      <c r="N598" s="10"/>
    </row>
    <row r="599" spans="5:14" x14ac:dyDescent="0.2">
      <c r="E599" s="10"/>
      <c r="F599" s="53"/>
      <c r="G599" s="9"/>
      <c r="J599" s="17"/>
      <c r="K599" s="17"/>
      <c r="N599" s="10"/>
    </row>
    <row r="600" spans="5:14" x14ac:dyDescent="0.2">
      <c r="E600" s="10"/>
      <c r="F600" s="53"/>
      <c r="G600" s="9"/>
      <c r="J600" s="17"/>
      <c r="K600" s="17"/>
      <c r="N600" s="10"/>
    </row>
    <row r="601" spans="5:14" x14ac:dyDescent="0.2">
      <c r="E601" s="10"/>
      <c r="F601" s="53"/>
      <c r="G601" s="9"/>
      <c r="J601" s="17"/>
      <c r="K601" s="17"/>
      <c r="N601" s="10"/>
    </row>
    <row r="602" spans="5:14" x14ac:dyDescent="0.2">
      <c r="E602" s="10"/>
      <c r="F602" s="53"/>
      <c r="G602" s="9"/>
      <c r="J602" s="17"/>
      <c r="K602" s="17"/>
      <c r="N602" s="10"/>
    </row>
    <row r="603" spans="5:14" x14ac:dyDescent="0.2">
      <c r="E603" s="10"/>
      <c r="F603" s="53"/>
      <c r="G603" s="9"/>
      <c r="J603" s="17"/>
      <c r="K603" s="17"/>
      <c r="N603" s="10"/>
    </row>
    <row r="604" spans="5:14" x14ac:dyDescent="0.2">
      <c r="E604" s="10"/>
      <c r="F604" s="53"/>
      <c r="G604" s="9"/>
      <c r="J604" s="17"/>
      <c r="K604" s="17"/>
      <c r="N604" s="10"/>
    </row>
    <row r="605" spans="5:14" x14ac:dyDescent="0.2">
      <c r="E605" s="10"/>
      <c r="F605" s="53"/>
      <c r="G605" s="9"/>
      <c r="J605" s="17"/>
      <c r="K605" s="17"/>
      <c r="N605" s="10"/>
    </row>
    <row r="606" spans="5:14" x14ac:dyDescent="0.2">
      <c r="E606" s="10"/>
      <c r="F606" s="53"/>
      <c r="G606" s="9"/>
      <c r="J606" s="17"/>
      <c r="K606" s="17"/>
      <c r="N606" s="10"/>
    </row>
    <row r="607" spans="5:14" x14ac:dyDescent="0.2">
      <c r="E607" s="10"/>
      <c r="F607" s="53"/>
      <c r="G607" s="9"/>
      <c r="J607" s="17"/>
      <c r="K607" s="17"/>
      <c r="N607" s="10"/>
    </row>
    <row r="608" spans="5:14" x14ac:dyDescent="0.2">
      <c r="E608" s="10"/>
      <c r="F608" s="53"/>
      <c r="G608" s="9"/>
      <c r="J608" s="17"/>
      <c r="K608" s="17"/>
      <c r="N608" s="10"/>
    </row>
    <row r="609" spans="5:14" x14ac:dyDescent="0.2">
      <c r="E609" s="10"/>
      <c r="F609" s="53"/>
      <c r="G609" s="9"/>
      <c r="J609" s="17"/>
      <c r="K609" s="17"/>
      <c r="N609" s="10"/>
    </row>
    <row r="610" spans="5:14" x14ac:dyDescent="0.2">
      <c r="E610" s="10"/>
      <c r="F610" s="53"/>
      <c r="G610" s="9"/>
      <c r="J610" s="17"/>
      <c r="K610" s="17"/>
      <c r="N610" s="10"/>
    </row>
    <row r="611" spans="5:14" x14ac:dyDescent="0.2">
      <c r="E611" s="10"/>
      <c r="F611" s="53"/>
      <c r="G611" s="9"/>
      <c r="J611" s="17"/>
      <c r="K611" s="17"/>
      <c r="N611" s="10"/>
    </row>
    <row r="612" spans="5:14" x14ac:dyDescent="0.2">
      <c r="E612" s="10"/>
      <c r="F612" s="53"/>
      <c r="G612" s="9"/>
      <c r="J612" s="17"/>
      <c r="K612" s="17"/>
      <c r="N612" s="10"/>
    </row>
    <row r="613" spans="5:14" x14ac:dyDescent="0.2">
      <c r="E613" s="10"/>
      <c r="F613" s="53"/>
      <c r="G613" s="9"/>
      <c r="J613" s="17"/>
      <c r="K613" s="17"/>
      <c r="N613" s="10"/>
    </row>
    <row r="614" spans="5:14" x14ac:dyDescent="0.2">
      <c r="E614" s="10"/>
      <c r="F614" s="53"/>
      <c r="G614" s="9"/>
      <c r="J614" s="17"/>
      <c r="K614" s="17"/>
      <c r="N614" s="10"/>
    </row>
    <row r="615" spans="5:14" x14ac:dyDescent="0.2">
      <c r="E615" s="10"/>
      <c r="F615" s="53"/>
      <c r="G615" s="9"/>
      <c r="J615" s="17"/>
      <c r="K615" s="17"/>
      <c r="N615" s="10"/>
    </row>
    <row r="616" spans="5:14" x14ac:dyDescent="0.2">
      <c r="E616" s="10"/>
      <c r="F616" s="53"/>
      <c r="G616" s="9"/>
      <c r="J616" s="17"/>
      <c r="K616" s="17"/>
      <c r="N616" s="10"/>
    </row>
    <row r="617" spans="5:14" x14ac:dyDescent="0.2">
      <c r="E617" s="10"/>
      <c r="F617" s="53"/>
      <c r="G617" s="9"/>
      <c r="J617" s="17"/>
      <c r="K617" s="17"/>
      <c r="N617" s="10"/>
    </row>
    <row r="618" spans="5:14" x14ac:dyDescent="0.2">
      <c r="E618" s="10"/>
      <c r="F618" s="53"/>
      <c r="G618" s="9"/>
      <c r="J618" s="17"/>
      <c r="K618" s="17"/>
      <c r="N618" s="10"/>
    </row>
    <row r="619" spans="5:14" x14ac:dyDescent="0.2">
      <c r="E619" s="10"/>
      <c r="F619" s="53"/>
      <c r="G619" s="9"/>
      <c r="J619" s="17"/>
      <c r="K619" s="17"/>
      <c r="N619" s="10"/>
    </row>
    <row r="620" spans="5:14" x14ac:dyDescent="0.2">
      <c r="E620" s="10"/>
      <c r="F620" s="53"/>
      <c r="G620" s="9"/>
      <c r="J620" s="17"/>
      <c r="K620" s="17"/>
      <c r="N620" s="10"/>
    </row>
    <row r="621" spans="5:14" x14ac:dyDescent="0.2">
      <c r="E621" s="10"/>
      <c r="F621" s="53"/>
      <c r="G621" s="9"/>
      <c r="J621" s="17"/>
      <c r="K621" s="17"/>
      <c r="N621" s="10"/>
    </row>
    <row r="622" spans="5:14" x14ac:dyDescent="0.2">
      <c r="E622" s="10"/>
      <c r="F622" s="53"/>
      <c r="G622" s="9"/>
      <c r="J622" s="17"/>
      <c r="K622" s="17"/>
      <c r="N622" s="10"/>
    </row>
    <row r="623" spans="5:14" x14ac:dyDescent="0.2">
      <c r="E623" s="10"/>
      <c r="F623" s="53"/>
      <c r="G623" s="9"/>
      <c r="J623" s="17"/>
      <c r="K623" s="17"/>
      <c r="N623" s="10"/>
    </row>
    <row r="624" spans="5:14" x14ac:dyDescent="0.2">
      <c r="E624" s="10"/>
      <c r="F624" s="53"/>
      <c r="G624" s="9"/>
      <c r="J624" s="17"/>
      <c r="K624" s="17"/>
      <c r="N624" s="10"/>
    </row>
    <row r="625" spans="5:14" x14ac:dyDescent="0.2">
      <c r="E625" s="10"/>
      <c r="F625" s="53"/>
      <c r="G625" s="9"/>
      <c r="J625" s="17"/>
      <c r="K625" s="17"/>
      <c r="N625" s="10"/>
    </row>
    <row r="626" spans="5:14" x14ac:dyDescent="0.2">
      <c r="E626" s="10"/>
      <c r="F626" s="53"/>
      <c r="G626" s="9"/>
      <c r="J626" s="17"/>
      <c r="K626" s="17"/>
      <c r="N626" s="10"/>
    </row>
    <row r="627" spans="5:14" x14ac:dyDescent="0.2">
      <c r="E627" s="10"/>
      <c r="F627" s="53"/>
      <c r="G627" s="9"/>
      <c r="J627" s="17"/>
      <c r="K627" s="17"/>
      <c r="N627" s="10"/>
    </row>
    <row r="628" spans="5:14" x14ac:dyDescent="0.2">
      <c r="E628" s="10"/>
      <c r="F628" s="53"/>
      <c r="G628" s="9"/>
      <c r="J628" s="17"/>
      <c r="K628" s="17"/>
      <c r="N628" s="10"/>
    </row>
    <row r="629" spans="5:14" x14ac:dyDescent="0.2">
      <c r="E629" s="10"/>
      <c r="F629" s="53"/>
      <c r="G629" s="9"/>
      <c r="J629" s="17"/>
      <c r="K629" s="17"/>
      <c r="N629" s="10"/>
    </row>
    <row r="630" spans="5:14" x14ac:dyDescent="0.2">
      <c r="E630" s="10"/>
      <c r="F630" s="53"/>
      <c r="G630" s="9"/>
      <c r="J630" s="17"/>
      <c r="K630" s="17"/>
      <c r="N630" s="10"/>
    </row>
    <row r="631" spans="5:14" x14ac:dyDescent="0.2">
      <c r="E631" s="10"/>
      <c r="F631" s="53"/>
      <c r="G631" s="9"/>
      <c r="J631" s="17"/>
      <c r="K631" s="17"/>
      <c r="N631" s="10"/>
    </row>
    <row r="632" spans="5:14" x14ac:dyDescent="0.2">
      <c r="E632" s="10"/>
      <c r="F632" s="53"/>
      <c r="G632" s="9"/>
      <c r="J632" s="17"/>
      <c r="K632" s="17"/>
      <c r="N632" s="10"/>
    </row>
    <row r="633" spans="5:14" x14ac:dyDescent="0.2">
      <c r="E633" s="10"/>
      <c r="F633" s="53"/>
      <c r="G633" s="9"/>
      <c r="J633" s="17"/>
      <c r="K633" s="17"/>
      <c r="N633" s="10"/>
    </row>
    <row r="634" spans="5:14" x14ac:dyDescent="0.2">
      <c r="E634" s="10"/>
      <c r="F634" s="53"/>
      <c r="G634" s="9"/>
      <c r="J634" s="17"/>
      <c r="K634" s="17"/>
      <c r="N634" s="10"/>
    </row>
    <row r="635" spans="5:14" x14ac:dyDescent="0.2">
      <c r="E635" s="10"/>
      <c r="F635" s="53"/>
      <c r="G635" s="9"/>
      <c r="J635" s="17"/>
      <c r="K635" s="17"/>
      <c r="N635" s="10"/>
    </row>
    <row r="636" spans="5:14" x14ac:dyDescent="0.2">
      <c r="E636" s="10"/>
      <c r="F636" s="53"/>
      <c r="G636" s="9"/>
      <c r="J636" s="17"/>
      <c r="K636" s="17"/>
      <c r="N636" s="10"/>
    </row>
    <row r="637" spans="5:14" x14ac:dyDescent="0.2">
      <c r="E637" s="10"/>
      <c r="F637" s="53"/>
      <c r="G637" s="9"/>
      <c r="J637" s="17"/>
      <c r="K637" s="17"/>
      <c r="N637" s="10"/>
    </row>
    <row r="638" spans="5:14" x14ac:dyDescent="0.2">
      <c r="E638" s="10"/>
      <c r="F638" s="53"/>
      <c r="G638" s="9"/>
      <c r="J638" s="17"/>
      <c r="K638" s="17"/>
      <c r="N638" s="10"/>
    </row>
    <row r="639" spans="5:14" x14ac:dyDescent="0.2">
      <c r="J639" s="17"/>
      <c r="K639" s="17"/>
    </row>
    <row r="640" spans="5:14" ht="12.75" x14ac:dyDescent="0.2">
      <c r="E640" s="54"/>
      <c r="F640" s="55"/>
      <c r="G640" s="56">
        <f>SUM(G9:G639)</f>
        <v>0</v>
      </c>
      <c r="N640" s="54"/>
    </row>
  </sheetData>
  <mergeCells count="5">
    <mergeCell ref="I3:K3"/>
    <mergeCell ref="M3:M4"/>
    <mergeCell ref="B3:B4"/>
    <mergeCell ref="C3:C4"/>
    <mergeCell ref="E3:G3"/>
  </mergeCells>
  <dataValidations count="2">
    <dataValidation type="list" allowBlank="1" showInputMessage="1" showErrorMessage="1" sqref="M20:M637 L9:L637" xr:uid="{D6E4FA61-812C-4D12-B6F2-D53CE0AF1B71}">
      <formula1>Taxes</formula1>
    </dataValidation>
    <dataValidation type="list" allowBlank="1" showInputMessage="1" showErrorMessage="1" sqref="B9:C638" xr:uid="{832FCD77-3DA5-473B-9C12-BA9573468C10}">
      <formula1>Compadjust</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B044E-5560-4AAB-9981-5E5EA25B9558}">
  <dimension ref="A1:O668"/>
  <sheetViews>
    <sheetView showGridLines="0" zoomScale="85" zoomScaleNormal="85" workbookViewId="0">
      <selection activeCell="B10" sqref="B10"/>
    </sheetView>
  </sheetViews>
  <sheetFormatPr defaultColWidth="11.56640625" defaultRowHeight="10.5" x14ac:dyDescent="0.2"/>
  <cols>
    <col min="1" max="1" width="3.62890625" style="17" bestFit="1" customWidth="1"/>
    <col min="2" max="2" width="41.96875" style="13" customWidth="1"/>
    <col min="3" max="3" width="13.046875" style="13" customWidth="1"/>
    <col min="4" max="4" width="0.94140625" style="13" customWidth="1"/>
    <col min="5" max="5" width="17.3515625" style="13" customWidth="1"/>
    <col min="6" max="6" width="12.64453125" style="10" customWidth="1"/>
    <col min="7" max="7" width="17.3515625" style="13" bestFit="1" customWidth="1"/>
    <col min="8" max="8" width="0.94140625" style="13" customWidth="1"/>
    <col min="9" max="9" width="15.6015625" style="13" customWidth="1"/>
    <col min="10" max="10" width="14.125" style="13" customWidth="1"/>
    <col min="11" max="11" width="15.46875" style="13" customWidth="1"/>
    <col min="12" max="12" width="0.94140625" style="13" customWidth="1"/>
    <col min="13" max="13" width="16.94921875" style="13" customWidth="1"/>
    <col min="14" max="14" width="8.609375" style="13" customWidth="1"/>
    <col min="15" max="15" width="13.5859375" style="10" customWidth="1"/>
    <col min="16" max="16384" width="11.56640625" style="13"/>
  </cols>
  <sheetData>
    <row r="1" spans="2:15" ht="45" customHeight="1" x14ac:dyDescent="0.1">
      <c r="B1" s="12" t="s">
        <v>3380</v>
      </c>
      <c r="C1" s="12"/>
      <c r="E1" s="14" t="s">
        <v>58</v>
      </c>
      <c r="F1" s="12" t="s">
        <v>3381</v>
      </c>
      <c r="G1" s="15">
        <v>704096981</v>
      </c>
      <c r="J1" s="12" t="s">
        <v>3382</v>
      </c>
      <c r="K1" s="16">
        <v>2021</v>
      </c>
    </row>
    <row r="2" spans="2:15" x14ac:dyDescent="0.2">
      <c r="B2" s="15"/>
      <c r="C2" s="15"/>
      <c r="F2" s="13"/>
      <c r="J2" s="21"/>
      <c r="M2" s="22"/>
    </row>
    <row r="3" spans="2:15" ht="13.5" customHeight="1" x14ac:dyDescent="0.2">
      <c r="B3" s="427" t="s">
        <v>3383</v>
      </c>
      <c r="C3" s="427" t="s">
        <v>3384</v>
      </c>
      <c r="E3" s="425" t="s">
        <v>3385</v>
      </c>
      <c r="F3" s="426"/>
      <c r="G3" s="427"/>
      <c r="I3" s="425" t="s">
        <v>3386</v>
      </c>
      <c r="J3" s="426"/>
      <c r="K3" s="427"/>
      <c r="M3" s="426" t="s">
        <v>3387</v>
      </c>
    </row>
    <row r="4" spans="2:15" ht="11.25" thickBot="1" x14ac:dyDescent="0.25">
      <c r="B4" s="430"/>
      <c r="C4" s="430"/>
      <c r="E4" s="18" t="s">
        <v>3388</v>
      </c>
      <c r="F4" s="19" t="s">
        <v>3389</v>
      </c>
      <c r="G4" s="27" t="s">
        <v>3390</v>
      </c>
      <c r="I4" s="18" t="s">
        <v>3388</v>
      </c>
      <c r="J4" s="19" t="s">
        <v>3389</v>
      </c>
      <c r="K4" s="27" t="s">
        <v>3390</v>
      </c>
      <c r="M4" s="428"/>
    </row>
    <row r="5" spans="2:15" ht="13.5" customHeight="1" x14ac:dyDescent="0.2">
      <c r="B5" s="193"/>
      <c r="C5" s="24"/>
      <c r="E5" s="25">
        <f>SUM(E6:E6)</f>
        <v>0</v>
      </c>
      <c r="F5" s="25">
        <f>SUM(F6:F6)</f>
        <v>0</v>
      </c>
      <c r="G5" s="25">
        <f>SUM(G6:G6)</f>
        <v>0</v>
      </c>
      <c r="I5" s="25">
        <f>SUM(I6:I6)</f>
        <v>307992587</v>
      </c>
      <c r="J5" s="25">
        <f>SUM(J6:J6)</f>
        <v>0</v>
      </c>
      <c r="K5" s="25">
        <f>SUM(K6:K6)</f>
        <v>307992587</v>
      </c>
      <c r="M5" s="25">
        <f>SUM(M6:M6)</f>
        <v>-307992587</v>
      </c>
    </row>
    <row r="6" spans="2:15" x14ac:dyDescent="0.2">
      <c r="B6" s="17" t="s">
        <v>3407</v>
      </c>
      <c r="C6" s="17" t="s">
        <v>3408</v>
      </c>
      <c r="E6" s="9"/>
      <c r="F6" s="9">
        <v>0</v>
      </c>
      <c r="G6" s="9">
        <v>0</v>
      </c>
      <c r="I6" s="9">
        <v>307992587</v>
      </c>
      <c r="J6" s="9">
        <v>0</v>
      </c>
      <c r="K6" s="9">
        <f>I6+J6</f>
        <v>307992587</v>
      </c>
      <c r="M6" s="9">
        <f t="shared" ref="M6" si="0">G6-K6</f>
        <v>-307992587</v>
      </c>
      <c r="N6" s="26"/>
      <c r="O6" s="28"/>
    </row>
    <row r="7" spans="2:15" x14ac:dyDescent="0.2">
      <c r="B7" s="33" t="s">
        <v>3399</v>
      </c>
      <c r="C7" s="33"/>
      <c r="E7" s="34">
        <f>E5</f>
        <v>0</v>
      </c>
      <c r="F7" s="34">
        <f t="shared" ref="F7:G7" si="1">F5</f>
        <v>0</v>
      </c>
      <c r="G7" s="34">
        <f t="shared" si="1"/>
        <v>0</v>
      </c>
      <c r="H7" s="21"/>
      <c r="I7" s="186">
        <f t="shared" ref="I7:K7" si="2">I5</f>
        <v>307992587</v>
      </c>
      <c r="J7" s="186">
        <f t="shared" si="2"/>
        <v>0</v>
      </c>
      <c r="K7" s="186">
        <f t="shared" si="2"/>
        <v>307992587</v>
      </c>
      <c r="L7" s="187"/>
      <c r="M7" s="186">
        <f>M5</f>
        <v>-307992587</v>
      </c>
    </row>
    <row r="8" spans="2:15" x14ac:dyDescent="0.2">
      <c r="B8" s="15"/>
      <c r="C8" s="15"/>
      <c r="F8" s="32"/>
      <c r="G8" s="32"/>
      <c r="I8" s="32"/>
      <c r="J8" s="32"/>
      <c r="K8" s="32"/>
      <c r="M8" s="32"/>
    </row>
    <row r="9" spans="2:15" x14ac:dyDescent="0.1">
      <c r="E9" s="30"/>
      <c r="F9" s="42"/>
      <c r="G9" s="38"/>
      <c r="I9" s="39"/>
      <c r="J9" s="17"/>
      <c r="K9" s="17"/>
      <c r="N9" s="10"/>
      <c r="O9" s="40"/>
    </row>
    <row r="10" spans="2:15" ht="12.75" x14ac:dyDescent="0.1">
      <c r="B10" s="363" t="s">
        <v>3409</v>
      </c>
      <c r="E10" s="30"/>
      <c r="F10" s="42"/>
      <c r="G10" s="38"/>
      <c r="I10" s="39"/>
      <c r="J10" s="17"/>
      <c r="K10" s="17"/>
      <c r="N10" s="10"/>
      <c r="O10" s="45"/>
    </row>
    <row r="11" spans="2:15" x14ac:dyDescent="0.1">
      <c r="E11" s="30"/>
      <c r="F11" s="42"/>
      <c r="G11" s="38"/>
      <c r="I11" s="39"/>
      <c r="J11" s="17"/>
      <c r="K11" s="17"/>
      <c r="N11" s="10"/>
      <c r="O11" s="45"/>
    </row>
    <row r="12" spans="2:15" x14ac:dyDescent="0.1">
      <c r="E12" s="30"/>
      <c r="F12" s="42"/>
      <c r="G12" s="46"/>
      <c r="J12" s="17"/>
      <c r="K12" s="17"/>
      <c r="M12" s="47"/>
      <c r="N12" s="48"/>
      <c r="O12" s="49"/>
    </row>
    <row r="13" spans="2:15" x14ac:dyDescent="0.1">
      <c r="E13" s="30"/>
      <c r="F13" s="42"/>
      <c r="G13" s="50"/>
      <c r="J13" s="17"/>
      <c r="K13" s="17"/>
      <c r="M13" s="17"/>
      <c r="N13" s="48"/>
      <c r="O13" s="49"/>
    </row>
    <row r="14" spans="2:15" x14ac:dyDescent="0.1">
      <c r="E14" s="30"/>
      <c r="F14" s="42"/>
      <c r="G14" s="50"/>
      <c r="J14" s="17"/>
      <c r="K14" s="17"/>
      <c r="M14" s="47"/>
      <c r="N14" s="10"/>
      <c r="O14" s="45"/>
    </row>
    <row r="15" spans="2:15" x14ac:dyDescent="0.1">
      <c r="E15" s="30"/>
      <c r="F15" s="42"/>
      <c r="G15" s="50"/>
      <c r="J15" s="17"/>
      <c r="K15" s="17"/>
      <c r="M15" s="47"/>
      <c r="N15" s="10"/>
      <c r="O15" s="45"/>
    </row>
    <row r="16" spans="2:15" x14ac:dyDescent="0.1">
      <c r="E16" s="30"/>
      <c r="F16" s="42"/>
      <c r="G16" s="50"/>
      <c r="J16" s="17"/>
      <c r="K16" s="17"/>
      <c r="N16" s="10"/>
      <c r="O16" s="45"/>
    </row>
    <row r="17" spans="5:15" x14ac:dyDescent="0.1">
      <c r="E17" s="30"/>
      <c r="F17" s="42"/>
      <c r="G17" s="50"/>
      <c r="J17" s="17"/>
      <c r="K17" s="17"/>
      <c r="N17" s="10"/>
      <c r="O17" s="51"/>
    </row>
    <row r="18" spans="5:15" x14ac:dyDescent="0.1">
      <c r="E18" s="30"/>
      <c r="F18" s="42"/>
      <c r="G18" s="50"/>
      <c r="J18" s="17"/>
      <c r="K18" s="17"/>
      <c r="N18" s="10"/>
      <c r="O18" s="51"/>
    </row>
    <row r="19" spans="5:15" x14ac:dyDescent="0.1">
      <c r="E19" s="30"/>
      <c r="F19" s="42"/>
      <c r="G19" s="50"/>
      <c r="J19" s="17"/>
      <c r="K19" s="17"/>
      <c r="N19" s="10"/>
      <c r="O19" s="51"/>
    </row>
    <row r="20" spans="5:15" x14ac:dyDescent="0.1">
      <c r="E20" s="30"/>
      <c r="F20" s="42"/>
      <c r="G20" s="50"/>
      <c r="J20" s="17"/>
      <c r="K20" s="17"/>
      <c r="N20" s="10"/>
      <c r="O20" s="51"/>
    </row>
    <row r="21" spans="5:15" x14ac:dyDescent="0.1">
      <c r="E21" s="30"/>
      <c r="F21" s="42"/>
      <c r="G21" s="50"/>
      <c r="J21" s="17"/>
      <c r="K21" s="17"/>
      <c r="N21" s="10"/>
      <c r="O21" s="51"/>
    </row>
    <row r="22" spans="5:15" x14ac:dyDescent="0.1">
      <c r="E22" s="30"/>
      <c r="F22" s="42"/>
      <c r="G22" s="50"/>
      <c r="J22" s="17"/>
      <c r="K22" s="17"/>
      <c r="N22" s="10"/>
      <c r="O22" s="51"/>
    </row>
    <row r="23" spans="5:15" x14ac:dyDescent="0.1">
      <c r="E23" s="30"/>
      <c r="F23" s="42"/>
      <c r="G23" s="50"/>
      <c r="J23" s="17"/>
      <c r="K23" s="17"/>
      <c r="N23" s="10"/>
      <c r="O23" s="51"/>
    </row>
    <row r="24" spans="5:15" x14ac:dyDescent="0.1">
      <c r="E24" s="30"/>
      <c r="F24" s="42"/>
      <c r="G24" s="52"/>
      <c r="J24" s="17"/>
      <c r="K24" s="17"/>
      <c r="N24" s="10"/>
      <c r="O24" s="51"/>
    </row>
    <row r="25" spans="5:15" x14ac:dyDescent="0.1">
      <c r="E25" s="30"/>
      <c r="F25" s="42"/>
      <c r="G25" s="52"/>
      <c r="J25" s="17"/>
      <c r="K25" s="17"/>
      <c r="N25" s="10"/>
      <c r="O25" s="51"/>
    </row>
    <row r="26" spans="5:15" x14ac:dyDescent="0.1">
      <c r="E26" s="30"/>
      <c r="F26" s="42"/>
      <c r="G26" s="52"/>
      <c r="J26" s="17"/>
      <c r="K26" s="17"/>
      <c r="N26" s="10"/>
      <c r="O26" s="51"/>
    </row>
    <row r="27" spans="5:15" x14ac:dyDescent="0.1">
      <c r="E27" s="30"/>
      <c r="F27" s="42"/>
      <c r="G27" s="52"/>
      <c r="J27" s="17"/>
      <c r="K27" s="17"/>
      <c r="N27" s="10"/>
      <c r="O27" s="51"/>
    </row>
    <row r="28" spans="5:15" x14ac:dyDescent="0.1">
      <c r="E28" s="30"/>
      <c r="F28" s="42"/>
      <c r="G28" s="52"/>
      <c r="J28" s="17"/>
      <c r="K28" s="17"/>
      <c r="N28" s="10"/>
      <c r="O28" s="51"/>
    </row>
    <row r="29" spans="5:15" x14ac:dyDescent="0.1">
      <c r="E29" s="30"/>
      <c r="F29" s="42"/>
      <c r="G29" s="52"/>
      <c r="J29" s="17"/>
      <c r="K29" s="17"/>
      <c r="N29" s="10"/>
      <c r="O29" s="51"/>
    </row>
    <row r="30" spans="5:15" x14ac:dyDescent="0.1">
      <c r="E30" s="30"/>
      <c r="F30" s="42"/>
      <c r="G30" s="52"/>
      <c r="J30" s="17"/>
      <c r="K30" s="17"/>
      <c r="N30" s="10"/>
      <c r="O30" s="51"/>
    </row>
    <row r="31" spans="5:15" x14ac:dyDescent="0.1">
      <c r="E31" s="30"/>
      <c r="F31" s="42"/>
      <c r="G31" s="52"/>
      <c r="J31" s="17"/>
      <c r="K31" s="17"/>
      <c r="N31" s="10"/>
      <c r="O31" s="51"/>
    </row>
    <row r="32" spans="5:15" x14ac:dyDescent="0.1">
      <c r="E32" s="30"/>
      <c r="F32" s="42"/>
      <c r="G32" s="52"/>
      <c r="J32" s="17"/>
      <c r="K32" s="17"/>
      <c r="N32" s="10"/>
      <c r="O32" s="51"/>
    </row>
    <row r="33" spans="5:15" x14ac:dyDescent="0.1">
      <c r="E33" s="30"/>
      <c r="F33" s="42"/>
      <c r="G33" s="52"/>
      <c r="J33" s="17"/>
      <c r="K33" s="17"/>
      <c r="N33" s="10"/>
      <c r="O33" s="51"/>
    </row>
    <row r="34" spans="5:15" x14ac:dyDescent="0.1">
      <c r="E34" s="30"/>
      <c r="F34" s="42"/>
      <c r="G34" s="52"/>
      <c r="J34" s="17"/>
      <c r="K34" s="17"/>
      <c r="N34" s="10"/>
      <c r="O34" s="51"/>
    </row>
    <row r="35" spans="5:15" x14ac:dyDescent="0.1">
      <c r="E35" s="30"/>
      <c r="F35" s="42"/>
      <c r="G35" s="52"/>
      <c r="J35" s="17"/>
      <c r="K35" s="17"/>
      <c r="N35" s="10"/>
      <c r="O35" s="51"/>
    </row>
    <row r="36" spans="5:15" x14ac:dyDescent="0.1">
      <c r="E36" s="30"/>
      <c r="F36" s="42"/>
      <c r="G36" s="52"/>
      <c r="J36" s="17"/>
      <c r="K36" s="17"/>
      <c r="N36" s="10"/>
      <c r="O36" s="51"/>
    </row>
    <row r="37" spans="5:15" x14ac:dyDescent="0.1">
      <c r="E37" s="30"/>
      <c r="F37" s="42"/>
      <c r="G37" s="52"/>
      <c r="J37" s="17"/>
      <c r="K37" s="17"/>
      <c r="N37" s="10"/>
      <c r="O37" s="51"/>
    </row>
    <row r="38" spans="5:15" x14ac:dyDescent="0.1">
      <c r="E38" s="30"/>
      <c r="F38" s="42"/>
      <c r="G38" s="52"/>
      <c r="J38" s="17"/>
      <c r="K38" s="17"/>
      <c r="N38" s="10"/>
      <c r="O38" s="51"/>
    </row>
    <row r="39" spans="5:15" x14ac:dyDescent="0.1">
      <c r="E39" s="30"/>
      <c r="F39" s="42"/>
      <c r="G39" s="52"/>
      <c r="J39" s="17"/>
      <c r="K39" s="17"/>
      <c r="N39" s="10"/>
      <c r="O39" s="51"/>
    </row>
    <row r="40" spans="5:15" x14ac:dyDescent="0.1">
      <c r="E40" s="30"/>
      <c r="F40" s="42"/>
      <c r="G40" s="52"/>
      <c r="J40" s="17"/>
      <c r="K40" s="17"/>
      <c r="N40" s="10"/>
      <c r="O40" s="51"/>
    </row>
    <row r="41" spans="5:15" x14ac:dyDescent="0.1">
      <c r="E41" s="30"/>
      <c r="F41" s="42"/>
      <c r="G41" s="52"/>
      <c r="J41" s="17"/>
      <c r="K41" s="17"/>
      <c r="N41" s="10"/>
      <c r="O41" s="51"/>
    </row>
    <row r="42" spans="5:15" x14ac:dyDescent="0.1">
      <c r="E42" s="30"/>
      <c r="F42" s="42"/>
      <c r="G42" s="52"/>
      <c r="J42" s="17"/>
      <c r="K42" s="17"/>
      <c r="N42" s="10"/>
      <c r="O42" s="51"/>
    </row>
    <row r="43" spans="5:15" x14ac:dyDescent="0.1">
      <c r="E43" s="30"/>
      <c r="F43" s="42"/>
      <c r="G43" s="52"/>
      <c r="J43" s="17"/>
      <c r="K43" s="17"/>
      <c r="N43" s="10"/>
      <c r="O43" s="51"/>
    </row>
    <row r="44" spans="5:15" x14ac:dyDescent="0.1">
      <c r="E44" s="30"/>
      <c r="F44" s="42"/>
      <c r="G44" s="52"/>
      <c r="J44" s="17"/>
      <c r="K44" s="17"/>
      <c r="N44" s="10"/>
      <c r="O44" s="51"/>
    </row>
    <row r="45" spans="5:15" x14ac:dyDescent="0.1">
      <c r="E45" s="30"/>
      <c r="F45" s="42"/>
      <c r="G45" s="52"/>
      <c r="J45" s="17"/>
      <c r="K45" s="17"/>
      <c r="N45" s="10"/>
      <c r="O45" s="51"/>
    </row>
    <row r="46" spans="5:15" x14ac:dyDescent="0.1">
      <c r="E46" s="30"/>
      <c r="F46" s="42"/>
      <c r="G46" s="52"/>
      <c r="J46" s="17"/>
      <c r="K46" s="17"/>
      <c r="N46" s="10"/>
      <c r="O46" s="51"/>
    </row>
    <row r="47" spans="5:15" x14ac:dyDescent="0.1">
      <c r="E47" s="30"/>
      <c r="F47" s="42"/>
      <c r="G47" s="52"/>
      <c r="J47" s="17"/>
      <c r="K47" s="17"/>
      <c r="N47" s="10"/>
      <c r="O47" s="51"/>
    </row>
    <row r="48" spans="5:15" x14ac:dyDescent="0.1">
      <c r="E48" s="30"/>
      <c r="F48" s="42"/>
      <c r="G48" s="52"/>
      <c r="J48" s="17"/>
      <c r="K48" s="17"/>
      <c r="N48" s="10"/>
      <c r="O48" s="45"/>
    </row>
    <row r="49" spans="5:15" x14ac:dyDescent="0.1">
      <c r="E49" s="30"/>
      <c r="F49" s="42"/>
      <c r="G49" s="52"/>
      <c r="J49" s="17"/>
      <c r="K49" s="17"/>
      <c r="N49" s="10"/>
      <c r="O49" s="45"/>
    </row>
    <row r="50" spans="5:15" x14ac:dyDescent="0.1">
      <c r="E50" s="30"/>
      <c r="F50" s="42"/>
      <c r="G50" s="52"/>
      <c r="J50" s="17"/>
      <c r="K50" s="17"/>
      <c r="N50" s="10"/>
      <c r="O50" s="45"/>
    </row>
    <row r="51" spans="5:15" x14ac:dyDescent="0.1">
      <c r="E51" s="30"/>
      <c r="F51" s="42"/>
      <c r="G51" s="52"/>
      <c r="J51" s="17"/>
      <c r="K51" s="17"/>
      <c r="N51" s="10"/>
      <c r="O51" s="45"/>
    </row>
    <row r="52" spans="5:15" x14ac:dyDescent="0.1">
      <c r="E52" s="30"/>
      <c r="F52" s="42"/>
      <c r="G52" s="52"/>
      <c r="J52" s="17"/>
      <c r="K52" s="17"/>
      <c r="N52" s="10"/>
      <c r="O52" s="45"/>
    </row>
    <row r="53" spans="5:15" x14ac:dyDescent="0.1">
      <c r="E53" s="30"/>
      <c r="F53" s="42"/>
      <c r="G53" s="52"/>
      <c r="J53" s="17"/>
      <c r="K53" s="17"/>
      <c r="N53" s="10"/>
      <c r="O53" s="45"/>
    </row>
    <row r="54" spans="5:15" x14ac:dyDescent="0.1">
      <c r="E54" s="30"/>
      <c r="F54" s="42"/>
      <c r="G54" s="52"/>
      <c r="J54" s="17"/>
      <c r="K54" s="17"/>
      <c r="N54" s="10"/>
      <c r="O54" s="45"/>
    </row>
    <row r="55" spans="5:15" x14ac:dyDescent="0.1">
      <c r="E55" s="30"/>
      <c r="F55" s="42"/>
      <c r="G55" s="52"/>
      <c r="J55" s="17"/>
      <c r="K55" s="17"/>
      <c r="N55" s="10"/>
      <c r="O55" s="45"/>
    </row>
    <row r="56" spans="5:15" x14ac:dyDescent="0.1">
      <c r="E56" s="30"/>
      <c r="F56" s="42"/>
      <c r="G56" s="52"/>
      <c r="J56" s="17"/>
      <c r="K56" s="17"/>
      <c r="N56" s="10"/>
      <c r="O56" s="45"/>
    </row>
    <row r="57" spans="5:15" x14ac:dyDescent="0.1">
      <c r="E57" s="30"/>
      <c r="F57" s="42"/>
      <c r="G57" s="52"/>
      <c r="J57" s="17"/>
      <c r="K57" s="17"/>
      <c r="N57" s="10"/>
      <c r="O57" s="45"/>
    </row>
    <row r="58" spans="5:15" x14ac:dyDescent="0.1">
      <c r="E58" s="30"/>
      <c r="F58" s="42"/>
      <c r="G58" s="52"/>
      <c r="J58" s="17"/>
      <c r="K58" s="17"/>
      <c r="N58" s="10"/>
      <c r="O58" s="45"/>
    </row>
    <row r="59" spans="5:15" x14ac:dyDescent="0.1">
      <c r="E59" s="30"/>
      <c r="F59" s="42"/>
      <c r="G59" s="52"/>
      <c r="J59" s="17"/>
      <c r="K59" s="17"/>
      <c r="N59" s="10"/>
      <c r="O59" s="45"/>
    </row>
    <row r="60" spans="5:15" x14ac:dyDescent="0.1">
      <c r="E60" s="30"/>
      <c r="F60" s="42"/>
      <c r="G60" s="52"/>
      <c r="J60" s="17"/>
      <c r="K60" s="17"/>
      <c r="N60" s="10"/>
      <c r="O60" s="45"/>
    </row>
    <row r="61" spans="5:15" x14ac:dyDescent="0.1">
      <c r="E61" s="30"/>
      <c r="F61" s="42"/>
      <c r="G61" s="52"/>
      <c r="J61" s="17"/>
      <c r="K61" s="17"/>
      <c r="N61" s="10"/>
      <c r="O61" s="45"/>
    </row>
    <row r="62" spans="5:15" x14ac:dyDescent="0.1">
      <c r="E62" s="30"/>
      <c r="F62" s="42"/>
      <c r="G62" s="52"/>
      <c r="J62" s="17"/>
      <c r="K62" s="17"/>
      <c r="N62" s="10"/>
      <c r="O62" s="45"/>
    </row>
    <row r="63" spans="5:15" x14ac:dyDescent="0.1">
      <c r="E63" s="30"/>
      <c r="F63" s="42"/>
      <c r="G63" s="52"/>
      <c r="J63" s="17"/>
      <c r="K63" s="17"/>
      <c r="N63" s="10"/>
      <c r="O63" s="45"/>
    </row>
    <row r="64" spans="5:15" x14ac:dyDescent="0.1">
      <c r="E64" s="30"/>
      <c r="F64" s="42"/>
      <c r="G64" s="52"/>
      <c r="J64" s="17"/>
      <c r="K64" s="17"/>
      <c r="N64" s="10"/>
      <c r="O64" s="45"/>
    </row>
    <row r="65" spans="5:15" x14ac:dyDescent="0.1">
      <c r="E65" s="30"/>
      <c r="F65" s="42"/>
      <c r="G65" s="52"/>
      <c r="J65" s="17"/>
      <c r="K65" s="17"/>
      <c r="N65" s="10"/>
      <c r="O65" s="45"/>
    </row>
    <row r="66" spans="5:15" x14ac:dyDescent="0.1">
      <c r="E66" s="30"/>
      <c r="F66" s="42"/>
      <c r="G66" s="52"/>
      <c r="J66" s="17"/>
      <c r="K66" s="17"/>
      <c r="N66" s="10"/>
      <c r="O66" s="45"/>
    </row>
    <row r="67" spans="5:15" x14ac:dyDescent="0.1">
      <c r="E67" s="30"/>
      <c r="F67" s="42"/>
      <c r="G67" s="52"/>
      <c r="J67" s="17"/>
      <c r="K67" s="17"/>
      <c r="N67" s="10"/>
      <c r="O67" s="45"/>
    </row>
    <row r="68" spans="5:15" x14ac:dyDescent="0.1">
      <c r="E68" s="30"/>
      <c r="F68" s="42"/>
      <c r="G68" s="52"/>
      <c r="J68" s="17"/>
      <c r="K68" s="17"/>
      <c r="N68" s="10"/>
      <c r="O68" s="45"/>
    </row>
    <row r="69" spans="5:15" x14ac:dyDescent="0.1">
      <c r="E69" s="30"/>
      <c r="F69" s="42"/>
      <c r="G69" s="52"/>
      <c r="J69" s="17"/>
      <c r="K69" s="17"/>
      <c r="N69" s="10"/>
      <c r="O69" s="45"/>
    </row>
    <row r="70" spans="5:15" x14ac:dyDescent="0.1">
      <c r="E70" s="30"/>
      <c r="F70" s="42"/>
      <c r="G70" s="52"/>
      <c r="J70" s="17"/>
      <c r="K70" s="17"/>
      <c r="N70" s="10"/>
      <c r="O70" s="45"/>
    </row>
    <row r="71" spans="5:15" x14ac:dyDescent="0.1">
      <c r="E71" s="30"/>
      <c r="F71" s="42"/>
      <c r="G71" s="52"/>
      <c r="J71" s="17"/>
      <c r="K71" s="17"/>
      <c r="N71" s="10"/>
      <c r="O71" s="45"/>
    </row>
    <row r="72" spans="5:15" x14ac:dyDescent="0.1">
      <c r="E72" s="30"/>
      <c r="F72" s="42"/>
      <c r="G72" s="52"/>
      <c r="J72" s="17"/>
      <c r="K72" s="17"/>
      <c r="N72" s="10"/>
      <c r="O72" s="45"/>
    </row>
    <row r="73" spans="5:15" x14ac:dyDescent="0.1">
      <c r="E73" s="30"/>
      <c r="F73" s="42"/>
      <c r="G73" s="52"/>
      <c r="J73" s="17"/>
      <c r="K73" s="17"/>
      <c r="N73" s="10"/>
      <c r="O73" s="45"/>
    </row>
    <row r="74" spans="5:15" x14ac:dyDescent="0.1">
      <c r="E74" s="30"/>
      <c r="F74" s="42"/>
      <c r="G74" s="52"/>
      <c r="J74" s="17"/>
      <c r="K74" s="17"/>
      <c r="N74" s="10"/>
      <c r="O74" s="45"/>
    </row>
    <row r="75" spans="5:15" x14ac:dyDescent="0.1">
      <c r="E75" s="30"/>
      <c r="F75" s="42"/>
      <c r="G75" s="52"/>
      <c r="J75" s="17"/>
      <c r="K75" s="17"/>
      <c r="N75" s="10"/>
      <c r="O75" s="45"/>
    </row>
    <row r="76" spans="5:15" x14ac:dyDescent="0.1">
      <c r="E76" s="30"/>
      <c r="F76" s="42"/>
      <c r="G76" s="52"/>
      <c r="J76" s="17"/>
      <c r="K76" s="17"/>
      <c r="N76" s="10"/>
      <c r="O76" s="45"/>
    </row>
    <row r="77" spans="5:15" x14ac:dyDescent="0.1">
      <c r="E77" s="30"/>
      <c r="F77" s="42"/>
      <c r="G77" s="52"/>
      <c r="J77" s="17"/>
      <c r="K77" s="17"/>
      <c r="N77" s="10"/>
      <c r="O77" s="45"/>
    </row>
    <row r="78" spans="5:15" x14ac:dyDescent="0.1">
      <c r="E78" s="30"/>
      <c r="F78" s="42"/>
      <c r="G78" s="52"/>
      <c r="J78" s="17"/>
      <c r="K78" s="17"/>
      <c r="N78" s="10"/>
      <c r="O78" s="45"/>
    </row>
    <row r="79" spans="5:15" x14ac:dyDescent="0.1">
      <c r="E79" s="30"/>
      <c r="F79" s="42"/>
      <c r="G79" s="52"/>
      <c r="J79" s="17"/>
      <c r="K79" s="17"/>
      <c r="N79" s="10"/>
      <c r="O79" s="45"/>
    </row>
    <row r="80" spans="5:15" x14ac:dyDescent="0.1">
      <c r="E80" s="30"/>
      <c r="F80" s="42"/>
      <c r="G80" s="52"/>
      <c r="J80" s="17"/>
      <c r="K80" s="17"/>
      <c r="N80" s="10"/>
      <c r="O80" s="45"/>
    </row>
    <row r="81" spans="5:15" x14ac:dyDescent="0.1">
      <c r="E81" s="30"/>
      <c r="F81" s="42"/>
      <c r="G81" s="52"/>
      <c r="J81" s="17"/>
      <c r="K81" s="17"/>
      <c r="N81" s="10"/>
      <c r="O81" s="45"/>
    </row>
    <row r="82" spans="5:15" x14ac:dyDescent="0.1">
      <c r="E82" s="30"/>
      <c r="F82" s="42"/>
      <c r="G82" s="52"/>
      <c r="J82" s="17"/>
      <c r="K82" s="17"/>
      <c r="N82" s="10"/>
      <c r="O82" s="45"/>
    </row>
    <row r="83" spans="5:15" x14ac:dyDescent="0.1">
      <c r="E83" s="30"/>
      <c r="F83" s="42"/>
      <c r="G83" s="52"/>
      <c r="J83" s="17"/>
      <c r="K83" s="17"/>
      <c r="N83" s="10"/>
      <c r="O83" s="45"/>
    </row>
    <row r="84" spans="5:15" x14ac:dyDescent="0.1">
      <c r="E84" s="30"/>
      <c r="F84" s="42"/>
      <c r="G84" s="52"/>
      <c r="J84" s="17"/>
      <c r="K84" s="17"/>
      <c r="N84" s="10"/>
      <c r="O84" s="45"/>
    </row>
    <row r="85" spans="5:15" x14ac:dyDescent="0.1">
      <c r="E85" s="30"/>
      <c r="F85" s="42"/>
      <c r="G85" s="52"/>
      <c r="J85" s="17"/>
      <c r="K85" s="17"/>
      <c r="N85" s="10"/>
      <c r="O85" s="45"/>
    </row>
    <row r="86" spans="5:15" x14ac:dyDescent="0.1">
      <c r="E86" s="30"/>
      <c r="F86" s="42"/>
      <c r="G86" s="52"/>
      <c r="J86" s="17"/>
      <c r="K86" s="17"/>
      <c r="N86" s="10"/>
      <c r="O86" s="45"/>
    </row>
    <row r="87" spans="5:15" x14ac:dyDescent="0.1">
      <c r="E87" s="30"/>
      <c r="F87" s="42"/>
      <c r="G87" s="52"/>
      <c r="J87" s="17"/>
      <c r="K87" s="17"/>
      <c r="N87" s="10"/>
      <c r="O87" s="45"/>
    </row>
    <row r="88" spans="5:15" x14ac:dyDescent="0.1">
      <c r="E88" s="30"/>
      <c r="F88" s="42"/>
      <c r="G88" s="52"/>
      <c r="J88" s="17"/>
      <c r="K88" s="17"/>
      <c r="N88" s="10"/>
      <c r="O88" s="45"/>
    </row>
    <row r="89" spans="5:15" x14ac:dyDescent="0.1">
      <c r="E89" s="30"/>
      <c r="F89" s="42"/>
      <c r="G89" s="52"/>
      <c r="J89" s="17"/>
      <c r="K89" s="17"/>
      <c r="N89" s="10"/>
      <c r="O89" s="45"/>
    </row>
    <row r="90" spans="5:15" x14ac:dyDescent="0.1">
      <c r="E90" s="30"/>
      <c r="F90" s="42"/>
      <c r="G90" s="52"/>
      <c r="J90" s="17"/>
      <c r="K90" s="17"/>
      <c r="N90" s="10"/>
      <c r="O90" s="45"/>
    </row>
    <row r="91" spans="5:15" x14ac:dyDescent="0.1">
      <c r="E91" s="30"/>
      <c r="F91" s="42"/>
      <c r="G91" s="52"/>
      <c r="J91" s="17"/>
      <c r="K91" s="17"/>
      <c r="N91" s="10"/>
      <c r="O91" s="45"/>
    </row>
    <row r="92" spans="5:15" x14ac:dyDescent="0.1">
      <c r="E92" s="30"/>
      <c r="F92" s="42"/>
      <c r="G92" s="52"/>
      <c r="J92" s="17"/>
      <c r="K92" s="17"/>
      <c r="N92" s="10"/>
      <c r="O92" s="45"/>
    </row>
    <row r="93" spans="5:15" x14ac:dyDescent="0.1">
      <c r="E93" s="30"/>
      <c r="F93" s="42"/>
      <c r="G93" s="52"/>
      <c r="J93" s="17"/>
      <c r="K93" s="17"/>
      <c r="N93" s="10"/>
      <c r="O93" s="45"/>
    </row>
    <row r="94" spans="5:15" x14ac:dyDescent="0.1">
      <c r="E94" s="30"/>
      <c r="F94" s="42"/>
      <c r="G94" s="52"/>
      <c r="J94" s="17"/>
      <c r="K94" s="17"/>
      <c r="N94" s="10"/>
      <c r="O94" s="45"/>
    </row>
    <row r="95" spans="5:15" x14ac:dyDescent="0.1">
      <c r="E95" s="30"/>
      <c r="F95" s="42"/>
      <c r="G95" s="52"/>
      <c r="J95" s="17"/>
      <c r="K95" s="17"/>
      <c r="N95" s="10"/>
      <c r="O95" s="45"/>
    </row>
    <row r="96" spans="5:15" x14ac:dyDescent="0.1">
      <c r="E96" s="30"/>
      <c r="F96" s="42"/>
      <c r="G96" s="52"/>
      <c r="J96" s="17"/>
      <c r="K96" s="17"/>
      <c r="N96" s="10"/>
      <c r="O96" s="45"/>
    </row>
    <row r="97" spans="5:15" x14ac:dyDescent="0.1">
      <c r="E97" s="30"/>
      <c r="F97" s="42"/>
      <c r="G97" s="52"/>
      <c r="J97" s="17"/>
      <c r="K97" s="17"/>
      <c r="N97" s="10"/>
      <c r="O97" s="45"/>
    </row>
    <row r="98" spans="5:15" x14ac:dyDescent="0.1">
      <c r="E98" s="30"/>
      <c r="F98" s="42"/>
      <c r="G98" s="52"/>
      <c r="J98" s="17"/>
      <c r="K98" s="17"/>
      <c r="N98" s="10"/>
      <c r="O98" s="45"/>
    </row>
    <row r="99" spans="5:15" x14ac:dyDescent="0.1">
      <c r="E99" s="30"/>
      <c r="F99" s="42"/>
      <c r="G99" s="52"/>
      <c r="J99" s="17"/>
      <c r="K99" s="17"/>
      <c r="N99" s="10"/>
      <c r="O99" s="45"/>
    </row>
    <row r="100" spans="5:15" x14ac:dyDescent="0.1">
      <c r="E100" s="30"/>
      <c r="F100" s="42"/>
      <c r="G100" s="52"/>
      <c r="J100" s="17"/>
      <c r="K100" s="17"/>
      <c r="N100" s="10"/>
      <c r="O100" s="45"/>
    </row>
    <row r="101" spans="5:15" x14ac:dyDescent="0.1">
      <c r="E101" s="30"/>
      <c r="F101" s="42"/>
      <c r="G101" s="52"/>
      <c r="J101" s="17"/>
      <c r="K101" s="17"/>
      <c r="N101" s="10"/>
      <c r="O101" s="45"/>
    </row>
    <row r="102" spans="5:15" x14ac:dyDescent="0.1">
      <c r="E102" s="30"/>
      <c r="F102" s="42"/>
      <c r="G102" s="52"/>
      <c r="J102" s="17"/>
      <c r="K102" s="17"/>
      <c r="N102" s="10"/>
      <c r="O102" s="45"/>
    </row>
    <row r="103" spans="5:15" x14ac:dyDescent="0.1">
      <c r="E103" s="30"/>
      <c r="F103" s="42"/>
      <c r="G103" s="52"/>
      <c r="J103" s="17"/>
      <c r="K103" s="17"/>
      <c r="N103" s="10"/>
      <c r="O103" s="45"/>
    </row>
    <row r="104" spans="5:15" x14ac:dyDescent="0.2">
      <c r="E104" s="10"/>
      <c r="F104" s="53"/>
      <c r="G104" s="35"/>
      <c r="J104" s="17"/>
      <c r="K104" s="17"/>
      <c r="N104" s="10"/>
      <c r="O104" s="45"/>
    </row>
    <row r="105" spans="5:15" x14ac:dyDescent="0.2">
      <c r="E105" s="10"/>
      <c r="F105" s="53"/>
      <c r="G105" s="35"/>
      <c r="J105" s="17"/>
      <c r="K105" s="17"/>
      <c r="N105" s="10"/>
      <c r="O105" s="45"/>
    </row>
    <row r="106" spans="5:15" x14ac:dyDescent="0.2">
      <c r="E106" s="10"/>
      <c r="F106" s="53"/>
      <c r="G106" s="35"/>
      <c r="J106" s="17"/>
      <c r="K106" s="17"/>
      <c r="N106" s="10"/>
      <c r="O106" s="45"/>
    </row>
    <row r="107" spans="5:15" x14ac:dyDescent="0.2">
      <c r="E107" s="10"/>
      <c r="F107" s="53"/>
      <c r="G107" s="35"/>
      <c r="J107" s="17"/>
      <c r="K107" s="17"/>
      <c r="N107" s="10"/>
      <c r="O107" s="45"/>
    </row>
    <row r="108" spans="5:15" x14ac:dyDescent="0.2">
      <c r="E108" s="10"/>
      <c r="F108" s="53"/>
      <c r="G108" s="35"/>
      <c r="J108" s="17"/>
      <c r="K108" s="17"/>
      <c r="N108" s="10"/>
      <c r="O108" s="45"/>
    </row>
    <row r="109" spans="5:15" x14ac:dyDescent="0.2">
      <c r="E109" s="10"/>
      <c r="F109" s="53"/>
      <c r="G109" s="35"/>
      <c r="J109" s="17"/>
      <c r="K109" s="17"/>
      <c r="N109" s="10"/>
      <c r="O109" s="45"/>
    </row>
    <row r="110" spans="5:15" x14ac:dyDescent="0.2">
      <c r="E110" s="10"/>
      <c r="F110" s="53"/>
      <c r="G110" s="35"/>
      <c r="J110" s="17"/>
      <c r="K110" s="17"/>
      <c r="N110" s="10"/>
      <c r="O110" s="45"/>
    </row>
    <row r="111" spans="5:15" x14ac:dyDescent="0.2">
      <c r="E111" s="10"/>
      <c r="F111" s="53"/>
      <c r="G111" s="35"/>
      <c r="J111" s="17"/>
      <c r="K111" s="17"/>
      <c r="N111" s="10"/>
      <c r="O111" s="45"/>
    </row>
    <row r="112" spans="5:15" x14ac:dyDescent="0.2">
      <c r="E112" s="10"/>
      <c r="F112" s="53"/>
      <c r="G112" s="35"/>
      <c r="J112" s="17"/>
      <c r="K112" s="17"/>
      <c r="N112" s="10"/>
      <c r="O112" s="45"/>
    </row>
    <row r="113" spans="5:15" x14ac:dyDescent="0.2">
      <c r="E113" s="10"/>
      <c r="F113" s="53"/>
      <c r="G113" s="35"/>
      <c r="J113" s="17"/>
      <c r="K113" s="17"/>
      <c r="N113" s="10"/>
      <c r="O113" s="45"/>
    </row>
    <row r="114" spans="5:15" x14ac:dyDescent="0.2">
      <c r="E114" s="10"/>
      <c r="F114" s="53"/>
      <c r="G114" s="35"/>
      <c r="J114" s="17"/>
      <c r="K114" s="17"/>
      <c r="N114" s="10"/>
      <c r="O114" s="45"/>
    </row>
    <row r="115" spans="5:15" x14ac:dyDescent="0.2">
      <c r="E115" s="10"/>
      <c r="F115" s="53"/>
      <c r="G115" s="35"/>
      <c r="J115" s="17"/>
      <c r="K115" s="17"/>
      <c r="N115" s="10"/>
      <c r="O115" s="45"/>
    </row>
    <row r="116" spans="5:15" x14ac:dyDescent="0.2">
      <c r="E116" s="10"/>
      <c r="F116" s="53"/>
      <c r="G116" s="35"/>
      <c r="J116" s="17"/>
      <c r="K116" s="17"/>
      <c r="N116" s="10"/>
      <c r="O116" s="45"/>
    </row>
    <row r="117" spans="5:15" x14ac:dyDescent="0.2">
      <c r="E117" s="10"/>
      <c r="F117" s="53"/>
      <c r="G117" s="35"/>
      <c r="J117" s="17"/>
      <c r="K117" s="17"/>
      <c r="N117" s="10"/>
      <c r="O117" s="45"/>
    </row>
    <row r="118" spans="5:15" x14ac:dyDescent="0.2">
      <c r="E118" s="10"/>
      <c r="F118" s="53"/>
      <c r="G118" s="35"/>
      <c r="J118" s="17"/>
      <c r="K118" s="17"/>
      <c r="N118" s="10"/>
      <c r="O118" s="45"/>
    </row>
    <row r="119" spans="5:15" x14ac:dyDescent="0.2">
      <c r="E119" s="10"/>
      <c r="F119" s="53"/>
      <c r="G119" s="35"/>
      <c r="J119" s="17"/>
      <c r="K119" s="17"/>
      <c r="N119" s="10"/>
      <c r="O119" s="45"/>
    </row>
    <row r="120" spans="5:15" x14ac:dyDescent="0.2">
      <c r="E120" s="10"/>
      <c r="F120" s="53"/>
      <c r="G120" s="35"/>
      <c r="J120" s="17"/>
      <c r="K120" s="17"/>
      <c r="N120" s="10"/>
      <c r="O120" s="45"/>
    </row>
    <row r="121" spans="5:15" x14ac:dyDescent="0.2">
      <c r="E121" s="10"/>
      <c r="F121" s="53"/>
      <c r="G121" s="35"/>
      <c r="J121" s="17"/>
      <c r="K121" s="17"/>
      <c r="N121" s="10"/>
      <c r="O121" s="45"/>
    </row>
    <row r="122" spans="5:15" x14ac:dyDescent="0.2">
      <c r="E122" s="10"/>
      <c r="F122" s="53"/>
      <c r="G122" s="35"/>
      <c r="J122" s="17"/>
      <c r="K122" s="17"/>
      <c r="N122" s="10"/>
      <c r="O122" s="45"/>
    </row>
    <row r="123" spans="5:15" x14ac:dyDescent="0.2">
      <c r="E123" s="10"/>
      <c r="F123" s="53"/>
      <c r="G123" s="35"/>
      <c r="J123" s="17"/>
      <c r="K123" s="17"/>
      <c r="N123" s="10"/>
      <c r="O123" s="45"/>
    </row>
    <row r="124" spans="5:15" x14ac:dyDescent="0.2">
      <c r="E124" s="10"/>
      <c r="F124" s="53"/>
      <c r="G124" s="35"/>
      <c r="J124" s="17"/>
      <c r="K124" s="17"/>
      <c r="N124" s="10"/>
      <c r="O124" s="45"/>
    </row>
    <row r="125" spans="5:15" x14ac:dyDescent="0.2">
      <c r="E125" s="10"/>
      <c r="F125" s="53"/>
      <c r="G125" s="35"/>
      <c r="J125" s="17"/>
      <c r="K125" s="17"/>
      <c r="N125" s="10"/>
      <c r="O125" s="45"/>
    </row>
    <row r="126" spans="5:15" x14ac:dyDescent="0.2">
      <c r="E126" s="10"/>
      <c r="F126" s="53"/>
      <c r="G126" s="35"/>
      <c r="J126" s="17"/>
      <c r="K126" s="17"/>
      <c r="N126" s="10"/>
      <c r="O126" s="45"/>
    </row>
    <row r="127" spans="5:15" x14ac:dyDescent="0.2">
      <c r="E127" s="10"/>
      <c r="F127" s="53"/>
      <c r="G127" s="35"/>
      <c r="J127" s="17"/>
      <c r="K127" s="17"/>
      <c r="N127" s="10"/>
      <c r="O127" s="45"/>
    </row>
    <row r="128" spans="5:15" x14ac:dyDescent="0.2">
      <c r="E128" s="10"/>
      <c r="F128" s="53"/>
      <c r="G128" s="35"/>
      <c r="J128" s="17"/>
      <c r="K128" s="17"/>
      <c r="N128" s="10"/>
      <c r="O128" s="45"/>
    </row>
    <row r="129" spans="5:15" x14ac:dyDescent="0.2">
      <c r="E129" s="10"/>
      <c r="F129" s="53"/>
      <c r="G129" s="35"/>
      <c r="J129" s="17"/>
      <c r="K129" s="17"/>
      <c r="N129" s="10"/>
      <c r="O129" s="45"/>
    </row>
    <row r="130" spans="5:15" x14ac:dyDescent="0.2">
      <c r="E130" s="10"/>
      <c r="F130" s="53"/>
      <c r="G130" s="35"/>
      <c r="J130" s="17"/>
      <c r="K130" s="17"/>
      <c r="N130" s="10"/>
      <c r="O130" s="45"/>
    </row>
    <row r="131" spans="5:15" x14ac:dyDescent="0.2">
      <c r="E131" s="10"/>
      <c r="F131" s="53"/>
      <c r="G131" s="35"/>
      <c r="J131" s="17"/>
      <c r="K131" s="17"/>
      <c r="N131" s="10"/>
      <c r="O131" s="45"/>
    </row>
    <row r="132" spans="5:15" x14ac:dyDescent="0.2">
      <c r="E132" s="10"/>
      <c r="F132" s="53"/>
      <c r="G132" s="35"/>
      <c r="J132" s="17"/>
      <c r="K132" s="17"/>
      <c r="N132" s="10"/>
      <c r="O132" s="45"/>
    </row>
    <row r="133" spans="5:15" x14ac:dyDescent="0.2">
      <c r="E133" s="10"/>
      <c r="F133" s="53"/>
      <c r="G133" s="35"/>
      <c r="J133" s="17"/>
      <c r="K133" s="17"/>
      <c r="N133" s="10"/>
      <c r="O133" s="45"/>
    </row>
    <row r="134" spans="5:15" x14ac:dyDescent="0.2">
      <c r="E134" s="10"/>
      <c r="F134" s="53"/>
      <c r="G134" s="35"/>
      <c r="J134" s="17"/>
      <c r="K134" s="17"/>
      <c r="N134" s="10"/>
      <c r="O134" s="45"/>
    </row>
    <row r="135" spans="5:15" x14ac:dyDescent="0.2">
      <c r="E135" s="10"/>
      <c r="F135" s="53"/>
      <c r="G135" s="35"/>
      <c r="J135" s="17"/>
      <c r="K135" s="17"/>
      <c r="N135" s="10"/>
      <c r="O135" s="45"/>
    </row>
    <row r="136" spans="5:15" x14ac:dyDescent="0.2">
      <c r="E136" s="10"/>
      <c r="F136" s="53"/>
      <c r="G136" s="35"/>
      <c r="J136" s="17"/>
      <c r="K136" s="17"/>
      <c r="N136" s="10"/>
      <c r="O136" s="45"/>
    </row>
    <row r="137" spans="5:15" x14ac:dyDescent="0.2">
      <c r="E137" s="10"/>
      <c r="F137" s="53"/>
      <c r="G137" s="35"/>
      <c r="J137" s="17"/>
      <c r="K137" s="17"/>
      <c r="N137" s="10"/>
      <c r="O137" s="45"/>
    </row>
    <row r="138" spans="5:15" x14ac:dyDescent="0.2">
      <c r="E138" s="10"/>
      <c r="F138" s="53"/>
      <c r="G138" s="35"/>
      <c r="J138" s="17"/>
      <c r="K138" s="17"/>
      <c r="N138" s="10"/>
      <c r="O138" s="45"/>
    </row>
    <row r="139" spans="5:15" x14ac:dyDescent="0.2">
      <c r="E139" s="10"/>
      <c r="F139" s="53"/>
      <c r="G139" s="35"/>
      <c r="J139" s="17"/>
      <c r="K139" s="17"/>
      <c r="N139" s="10"/>
      <c r="O139" s="45"/>
    </row>
    <row r="140" spans="5:15" x14ac:dyDescent="0.2">
      <c r="E140" s="10"/>
      <c r="F140" s="53"/>
      <c r="G140" s="35"/>
      <c r="J140" s="17"/>
      <c r="K140" s="17"/>
      <c r="N140" s="10"/>
      <c r="O140" s="45"/>
    </row>
    <row r="141" spans="5:15" x14ac:dyDescent="0.2">
      <c r="E141" s="10"/>
      <c r="F141" s="53"/>
      <c r="G141" s="35"/>
      <c r="J141" s="17"/>
      <c r="K141" s="17"/>
      <c r="N141" s="10"/>
      <c r="O141" s="45"/>
    </row>
    <row r="142" spans="5:15" x14ac:dyDescent="0.2">
      <c r="E142" s="10"/>
      <c r="F142" s="53"/>
      <c r="G142" s="35"/>
      <c r="J142" s="17"/>
      <c r="K142" s="17"/>
      <c r="N142" s="10"/>
      <c r="O142" s="45"/>
    </row>
    <row r="143" spans="5:15" x14ac:dyDescent="0.2">
      <c r="E143" s="10"/>
      <c r="F143" s="53"/>
      <c r="G143" s="35"/>
      <c r="J143" s="17"/>
      <c r="K143" s="17"/>
      <c r="N143" s="10"/>
      <c r="O143" s="45"/>
    </row>
    <row r="144" spans="5:15" x14ac:dyDescent="0.2">
      <c r="E144" s="45"/>
      <c r="F144" s="53"/>
      <c r="G144" s="35"/>
      <c r="J144" s="17"/>
      <c r="K144" s="17"/>
      <c r="N144" s="10"/>
      <c r="O144" s="45"/>
    </row>
    <row r="145" spans="5:15" x14ac:dyDescent="0.2">
      <c r="E145" s="45"/>
      <c r="F145" s="53"/>
      <c r="G145" s="35"/>
      <c r="J145" s="17"/>
      <c r="K145" s="17"/>
      <c r="N145" s="10"/>
      <c r="O145" s="45"/>
    </row>
    <row r="146" spans="5:15" x14ac:dyDescent="0.2">
      <c r="E146" s="10"/>
      <c r="F146" s="53"/>
      <c r="G146" s="35"/>
      <c r="J146" s="17"/>
      <c r="K146" s="17"/>
      <c r="N146" s="10"/>
      <c r="O146" s="45"/>
    </row>
    <row r="147" spans="5:15" x14ac:dyDescent="0.2">
      <c r="E147" s="10"/>
      <c r="F147" s="53"/>
      <c r="G147" s="35"/>
      <c r="J147" s="17"/>
      <c r="K147" s="17"/>
      <c r="N147" s="10"/>
      <c r="O147" s="45"/>
    </row>
    <row r="148" spans="5:15" x14ac:dyDescent="0.2">
      <c r="E148" s="10"/>
      <c r="F148" s="53"/>
      <c r="G148" s="35"/>
      <c r="J148" s="17"/>
      <c r="K148" s="17"/>
      <c r="N148" s="10"/>
      <c r="O148" s="45"/>
    </row>
    <row r="149" spans="5:15" x14ac:dyDescent="0.2">
      <c r="E149" s="10"/>
      <c r="F149" s="53"/>
      <c r="G149" s="35"/>
      <c r="J149" s="17"/>
      <c r="K149" s="17"/>
      <c r="N149" s="10"/>
      <c r="O149" s="45"/>
    </row>
    <row r="150" spans="5:15" x14ac:dyDescent="0.2">
      <c r="E150" s="10"/>
      <c r="F150" s="53"/>
      <c r="G150" s="35"/>
      <c r="J150" s="17"/>
      <c r="K150" s="17"/>
      <c r="N150" s="10"/>
      <c r="O150" s="45"/>
    </row>
    <row r="151" spans="5:15" x14ac:dyDescent="0.2">
      <c r="E151" s="10"/>
      <c r="F151" s="53"/>
      <c r="G151" s="35"/>
      <c r="J151" s="17"/>
      <c r="K151" s="17"/>
      <c r="N151" s="10"/>
      <c r="O151" s="45"/>
    </row>
    <row r="152" spans="5:15" x14ac:dyDescent="0.2">
      <c r="E152" s="10"/>
      <c r="F152" s="53"/>
      <c r="G152" s="35"/>
      <c r="J152" s="17"/>
      <c r="K152" s="17"/>
      <c r="N152" s="10"/>
      <c r="O152" s="45"/>
    </row>
    <row r="153" spans="5:15" x14ac:dyDescent="0.2">
      <c r="E153" s="10"/>
      <c r="F153" s="53"/>
      <c r="G153" s="35"/>
      <c r="J153" s="17"/>
      <c r="K153" s="17"/>
      <c r="N153" s="10"/>
      <c r="O153" s="45"/>
    </row>
    <row r="154" spans="5:15" x14ac:dyDescent="0.2">
      <c r="E154" s="10"/>
      <c r="F154" s="53"/>
      <c r="G154" s="35"/>
      <c r="J154" s="17"/>
      <c r="K154" s="17"/>
      <c r="N154" s="10"/>
      <c r="O154" s="45"/>
    </row>
    <row r="155" spans="5:15" x14ac:dyDescent="0.2">
      <c r="E155" s="10"/>
      <c r="F155" s="53"/>
      <c r="G155" s="35"/>
      <c r="J155" s="17"/>
      <c r="K155" s="17"/>
      <c r="N155" s="10"/>
      <c r="O155" s="45"/>
    </row>
    <row r="156" spans="5:15" x14ac:dyDescent="0.2">
      <c r="E156" s="10"/>
      <c r="F156" s="53"/>
      <c r="G156" s="9"/>
      <c r="J156" s="17"/>
      <c r="K156" s="17"/>
      <c r="N156" s="10"/>
      <c r="O156" s="45"/>
    </row>
    <row r="157" spans="5:15" x14ac:dyDescent="0.2">
      <c r="E157" s="10"/>
      <c r="F157" s="53"/>
      <c r="G157" s="9"/>
      <c r="J157" s="17"/>
      <c r="K157" s="17"/>
      <c r="N157" s="10"/>
      <c r="O157" s="45"/>
    </row>
    <row r="158" spans="5:15" x14ac:dyDescent="0.2">
      <c r="E158" s="10"/>
      <c r="F158" s="53"/>
      <c r="G158" s="9"/>
      <c r="J158" s="17"/>
      <c r="K158" s="17"/>
      <c r="N158" s="10"/>
      <c r="O158" s="45"/>
    </row>
    <row r="159" spans="5:15" x14ac:dyDescent="0.2">
      <c r="E159" s="10"/>
      <c r="F159" s="53"/>
      <c r="G159" s="9"/>
      <c r="J159" s="17"/>
      <c r="K159" s="17"/>
      <c r="N159" s="10"/>
      <c r="O159" s="45"/>
    </row>
    <row r="160" spans="5:15" x14ac:dyDescent="0.2">
      <c r="E160" s="10"/>
      <c r="F160" s="53"/>
      <c r="G160" s="9"/>
      <c r="J160" s="17"/>
      <c r="K160" s="17"/>
      <c r="N160" s="10"/>
      <c r="O160" s="45"/>
    </row>
    <row r="161" spans="5:15" x14ac:dyDescent="0.2">
      <c r="E161" s="10"/>
      <c r="F161" s="53"/>
      <c r="G161" s="9"/>
      <c r="J161" s="17"/>
      <c r="K161" s="17"/>
      <c r="N161" s="10"/>
      <c r="O161" s="45"/>
    </row>
    <row r="162" spans="5:15" x14ac:dyDescent="0.2">
      <c r="E162" s="10"/>
      <c r="F162" s="53"/>
      <c r="G162" s="9"/>
      <c r="J162" s="17"/>
      <c r="K162" s="17"/>
      <c r="N162" s="10"/>
      <c r="O162" s="45"/>
    </row>
    <row r="163" spans="5:15" x14ac:dyDescent="0.2">
      <c r="E163" s="10"/>
      <c r="F163" s="53"/>
      <c r="G163" s="9"/>
      <c r="J163" s="17"/>
      <c r="K163" s="17"/>
      <c r="N163" s="10"/>
      <c r="O163" s="45"/>
    </row>
    <row r="164" spans="5:15" x14ac:dyDescent="0.2">
      <c r="E164" s="10"/>
      <c r="F164" s="53"/>
      <c r="G164" s="9"/>
      <c r="J164" s="17"/>
      <c r="K164" s="17"/>
      <c r="N164" s="10"/>
      <c r="O164" s="45"/>
    </row>
    <row r="165" spans="5:15" x14ac:dyDescent="0.2">
      <c r="E165" s="10"/>
      <c r="F165" s="53"/>
      <c r="G165" s="9"/>
      <c r="J165" s="17"/>
      <c r="K165" s="17"/>
      <c r="N165" s="10"/>
      <c r="O165" s="45"/>
    </row>
    <row r="166" spans="5:15" x14ac:dyDescent="0.2">
      <c r="E166" s="10"/>
      <c r="F166" s="53"/>
      <c r="G166" s="9"/>
      <c r="J166" s="17"/>
      <c r="K166" s="17"/>
      <c r="N166" s="10"/>
      <c r="O166" s="45"/>
    </row>
    <row r="167" spans="5:15" x14ac:dyDescent="0.2">
      <c r="E167" s="10"/>
      <c r="F167" s="53"/>
      <c r="G167" s="9"/>
      <c r="J167" s="17"/>
      <c r="K167" s="17"/>
      <c r="N167" s="10"/>
      <c r="O167" s="45"/>
    </row>
    <row r="168" spans="5:15" x14ac:dyDescent="0.2">
      <c r="E168" s="10"/>
      <c r="F168" s="53"/>
      <c r="G168" s="9"/>
      <c r="J168" s="17"/>
      <c r="K168" s="17"/>
      <c r="N168" s="10"/>
      <c r="O168" s="45"/>
    </row>
    <row r="169" spans="5:15" x14ac:dyDescent="0.2">
      <c r="E169" s="10"/>
      <c r="F169" s="53"/>
      <c r="G169" s="9"/>
      <c r="J169" s="17"/>
      <c r="K169" s="17"/>
      <c r="N169" s="10"/>
      <c r="O169" s="45"/>
    </row>
    <row r="170" spans="5:15" x14ac:dyDescent="0.2">
      <c r="E170" s="10"/>
      <c r="F170" s="53"/>
      <c r="G170" s="9"/>
      <c r="J170" s="17"/>
      <c r="K170" s="17"/>
      <c r="N170" s="10"/>
      <c r="O170" s="45"/>
    </row>
    <row r="171" spans="5:15" x14ac:dyDescent="0.2">
      <c r="E171" s="10"/>
      <c r="F171" s="53"/>
      <c r="G171" s="9"/>
      <c r="J171" s="17"/>
      <c r="K171" s="17"/>
      <c r="N171" s="10"/>
      <c r="O171" s="45"/>
    </row>
    <row r="172" spans="5:15" x14ac:dyDescent="0.2">
      <c r="E172" s="10"/>
      <c r="F172" s="53"/>
      <c r="G172" s="9"/>
      <c r="J172" s="17"/>
      <c r="K172" s="17"/>
      <c r="N172" s="10"/>
      <c r="O172" s="45"/>
    </row>
    <row r="173" spans="5:15" x14ac:dyDescent="0.2">
      <c r="E173" s="10"/>
      <c r="F173" s="53"/>
      <c r="G173" s="9"/>
      <c r="J173" s="17"/>
      <c r="K173" s="17"/>
      <c r="N173" s="10"/>
      <c r="O173" s="45"/>
    </row>
    <row r="174" spans="5:15" x14ac:dyDescent="0.2">
      <c r="E174" s="10"/>
      <c r="F174" s="53"/>
      <c r="G174" s="9"/>
      <c r="J174" s="17"/>
      <c r="K174" s="17"/>
      <c r="N174" s="10"/>
      <c r="O174" s="45"/>
    </row>
    <row r="175" spans="5:15" x14ac:dyDescent="0.2">
      <c r="E175" s="10"/>
      <c r="F175" s="53"/>
      <c r="G175" s="9"/>
      <c r="J175" s="17"/>
      <c r="K175" s="17"/>
      <c r="N175" s="10"/>
      <c r="O175" s="45"/>
    </row>
    <row r="176" spans="5:15" x14ac:dyDescent="0.2">
      <c r="E176" s="10"/>
      <c r="F176" s="53"/>
      <c r="G176" s="9"/>
      <c r="J176" s="17"/>
      <c r="K176" s="17"/>
      <c r="N176" s="10"/>
      <c r="O176" s="45"/>
    </row>
    <row r="177" spans="5:15" x14ac:dyDescent="0.2">
      <c r="E177" s="10"/>
      <c r="F177" s="53"/>
      <c r="G177" s="9"/>
      <c r="J177" s="17"/>
      <c r="K177" s="17"/>
      <c r="N177" s="10"/>
      <c r="O177" s="45"/>
    </row>
    <row r="178" spans="5:15" x14ac:dyDescent="0.2">
      <c r="E178" s="10"/>
      <c r="F178" s="53"/>
      <c r="G178" s="9"/>
      <c r="J178" s="17"/>
      <c r="K178" s="17"/>
      <c r="N178" s="10"/>
      <c r="O178" s="45"/>
    </row>
    <row r="179" spans="5:15" x14ac:dyDescent="0.2">
      <c r="E179" s="10"/>
      <c r="F179" s="53"/>
      <c r="G179" s="9"/>
      <c r="J179" s="17"/>
      <c r="K179" s="17"/>
      <c r="N179" s="10"/>
      <c r="O179" s="45"/>
    </row>
    <row r="180" spans="5:15" x14ac:dyDescent="0.2">
      <c r="E180" s="10"/>
      <c r="F180" s="53"/>
      <c r="G180" s="9"/>
      <c r="J180" s="17"/>
      <c r="K180" s="17"/>
      <c r="N180" s="10"/>
      <c r="O180" s="45"/>
    </row>
    <row r="181" spans="5:15" x14ac:dyDescent="0.2">
      <c r="E181" s="10"/>
      <c r="F181" s="53"/>
      <c r="G181" s="9"/>
      <c r="J181" s="17"/>
      <c r="K181" s="17"/>
      <c r="N181" s="10"/>
      <c r="O181" s="45"/>
    </row>
    <row r="182" spans="5:15" x14ac:dyDescent="0.2">
      <c r="E182" s="10"/>
      <c r="F182" s="53"/>
      <c r="G182" s="9"/>
      <c r="J182" s="17"/>
      <c r="K182" s="17"/>
      <c r="N182" s="10"/>
      <c r="O182" s="45"/>
    </row>
    <row r="183" spans="5:15" x14ac:dyDescent="0.2">
      <c r="E183" s="10"/>
      <c r="F183" s="53"/>
      <c r="G183" s="9"/>
      <c r="J183" s="17"/>
      <c r="K183" s="17"/>
      <c r="N183" s="10"/>
      <c r="O183" s="45"/>
    </row>
    <row r="184" spans="5:15" x14ac:dyDescent="0.2">
      <c r="E184" s="10"/>
      <c r="F184" s="53"/>
      <c r="G184" s="9"/>
      <c r="J184" s="17"/>
      <c r="K184" s="17"/>
      <c r="N184" s="10"/>
      <c r="O184" s="45"/>
    </row>
    <row r="185" spans="5:15" x14ac:dyDescent="0.2">
      <c r="E185" s="10"/>
      <c r="F185" s="53"/>
      <c r="G185" s="9"/>
      <c r="J185" s="17"/>
      <c r="K185" s="17"/>
      <c r="N185" s="10"/>
      <c r="O185" s="45"/>
    </row>
    <row r="186" spans="5:15" x14ac:dyDescent="0.2">
      <c r="E186" s="10"/>
      <c r="F186" s="53"/>
      <c r="G186" s="9"/>
      <c r="J186" s="17"/>
      <c r="K186" s="17"/>
      <c r="N186" s="10"/>
      <c r="O186" s="45"/>
    </row>
    <row r="187" spans="5:15" x14ac:dyDescent="0.2">
      <c r="E187" s="10"/>
      <c r="F187" s="53"/>
      <c r="G187" s="9"/>
      <c r="J187" s="17"/>
      <c r="K187" s="17"/>
      <c r="N187" s="10"/>
      <c r="O187" s="45"/>
    </row>
    <row r="188" spans="5:15" x14ac:dyDescent="0.2">
      <c r="E188" s="10"/>
      <c r="F188" s="53"/>
      <c r="G188" s="9"/>
      <c r="J188" s="17"/>
      <c r="K188" s="17"/>
      <c r="N188" s="10"/>
      <c r="O188" s="45"/>
    </row>
    <row r="189" spans="5:15" x14ac:dyDescent="0.2">
      <c r="E189" s="10"/>
      <c r="F189" s="53"/>
      <c r="G189" s="9"/>
      <c r="J189" s="17"/>
      <c r="K189" s="17"/>
      <c r="N189" s="10"/>
      <c r="O189" s="45"/>
    </row>
    <row r="190" spans="5:15" x14ac:dyDescent="0.2">
      <c r="E190" s="10"/>
      <c r="F190" s="53"/>
      <c r="G190" s="9"/>
      <c r="J190" s="17"/>
      <c r="K190" s="17"/>
      <c r="N190" s="10"/>
      <c r="O190" s="45"/>
    </row>
    <row r="191" spans="5:15" x14ac:dyDescent="0.2">
      <c r="E191" s="10"/>
      <c r="F191" s="53"/>
      <c r="G191" s="9"/>
      <c r="J191" s="17"/>
      <c r="K191" s="17"/>
      <c r="N191" s="10"/>
      <c r="O191" s="45"/>
    </row>
    <row r="192" spans="5:15" x14ac:dyDescent="0.2">
      <c r="E192" s="10"/>
      <c r="F192" s="53"/>
      <c r="G192" s="9"/>
      <c r="J192" s="17"/>
      <c r="K192" s="17"/>
      <c r="N192" s="10"/>
      <c r="O192" s="45"/>
    </row>
    <row r="193" spans="5:15" x14ac:dyDescent="0.2">
      <c r="E193" s="10"/>
      <c r="F193" s="53"/>
      <c r="G193" s="9"/>
      <c r="J193" s="17"/>
      <c r="K193" s="17"/>
      <c r="N193" s="10"/>
      <c r="O193" s="45"/>
    </row>
    <row r="194" spans="5:15" x14ac:dyDescent="0.2">
      <c r="E194" s="10"/>
      <c r="F194" s="53"/>
      <c r="G194" s="9"/>
      <c r="J194" s="17"/>
      <c r="K194" s="17"/>
      <c r="N194" s="10"/>
      <c r="O194" s="45"/>
    </row>
    <row r="195" spans="5:15" x14ac:dyDescent="0.2">
      <c r="E195" s="10"/>
      <c r="F195" s="53"/>
      <c r="G195" s="9"/>
      <c r="J195" s="17"/>
      <c r="K195" s="17"/>
      <c r="N195" s="10"/>
      <c r="O195" s="45"/>
    </row>
    <row r="196" spans="5:15" x14ac:dyDescent="0.2">
      <c r="E196" s="10"/>
      <c r="F196" s="53"/>
      <c r="G196" s="9"/>
      <c r="J196" s="17"/>
      <c r="K196" s="17"/>
      <c r="N196" s="10"/>
      <c r="O196" s="45"/>
    </row>
    <row r="197" spans="5:15" x14ac:dyDescent="0.2">
      <c r="E197" s="10"/>
      <c r="F197" s="53"/>
      <c r="G197" s="9"/>
      <c r="J197" s="17"/>
      <c r="K197" s="17"/>
      <c r="N197" s="10"/>
      <c r="O197" s="45"/>
    </row>
    <row r="198" spans="5:15" x14ac:dyDescent="0.2">
      <c r="E198" s="10"/>
      <c r="F198" s="53"/>
      <c r="G198" s="9"/>
      <c r="J198" s="17"/>
      <c r="K198" s="17"/>
      <c r="N198" s="10"/>
      <c r="O198" s="45"/>
    </row>
    <row r="199" spans="5:15" x14ac:dyDescent="0.2">
      <c r="E199" s="10"/>
      <c r="F199" s="53"/>
      <c r="G199" s="9"/>
      <c r="J199" s="17"/>
      <c r="K199" s="17"/>
      <c r="N199" s="10"/>
      <c r="O199" s="45"/>
    </row>
    <row r="200" spans="5:15" x14ac:dyDescent="0.2">
      <c r="E200" s="10"/>
      <c r="F200" s="53"/>
      <c r="G200" s="9"/>
      <c r="J200" s="17"/>
      <c r="K200" s="17"/>
      <c r="N200" s="10"/>
      <c r="O200" s="45"/>
    </row>
    <row r="201" spans="5:15" x14ac:dyDescent="0.2">
      <c r="E201" s="10"/>
      <c r="F201" s="53"/>
      <c r="G201" s="9"/>
      <c r="J201" s="17"/>
      <c r="K201" s="17"/>
      <c r="N201" s="10"/>
      <c r="O201" s="45"/>
    </row>
    <row r="202" spans="5:15" x14ac:dyDescent="0.2">
      <c r="E202" s="10"/>
      <c r="F202" s="53"/>
      <c r="G202" s="9"/>
      <c r="J202" s="17"/>
      <c r="K202" s="17"/>
      <c r="N202" s="10"/>
      <c r="O202" s="45"/>
    </row>
    <row r="203" spans="5:15" x14ac:dyDescent="0.2">
      <c r="E203" s="10"/>
      <c r="F203" s="53"/>
      <c r="G203" s="9"/>
      <c r="J203" s="17"/>
      <c r="K203" s="17"/>
      <c r="N203" s="10"/>
      <c r="O203" s="45"/>
    </row>
    <row r="204" spans="5:15" x14ac:dyDescent="0.2">
      <c r="E204" s="10"/>
      <c r="F204" s="53"/>
      <c r="G204" s="9"/>
      <c r="J204" s="17"/>
      <c r="K204" s="17"/>
      <c r="N204" s="10"/>
      <c r="O204" s="45"/>
    </row>
    <row r="205" spans="5:15" x14ac:dyDescent="0.2">
      <c r="E205" s="10"/>
      <c r="F205" s="53"/>
      <c r="G205" s="9"/>
      <c r="J205" s="17"/>
      <c r="K205" s="17"/>
      <c r="N205" s="10"/>
      <c r="O205" s="45"/>
    </row>
    <row r="206" spans="5:15" x14ac:dyDescent="0.2">
      <c r="E206" s="10"/>
      <c r="F206" s="53"/>
      <c r="G206" s="9"/>
      <c r="J206" s="17"/>
      <c r="K206" s="17"/>
      <c r="N206" s="10"/>
      <c r="O206" s="45"/>
    </row>
    <row r="207" spans="5:15" x14ac:dyDescent="0.2">
      <c r="E207" s="10"/>
      <c r="F207" s="53"/>
      <c r="G207" s="9"/>
      <c r="J207" s="17"/>
      <c r="K207" s="17"/>
      <c r="N207" s="10"/>
      <c r="O207" s="45"/>
    </row>
    <row r="208" spans="5:15" x14ac:dyDescent="0.2">
      <c r="E208" s="10"/>
      <c r="F208" s="53"/>
      <c r="G208" s="9"/>
      <c r="J208" s="17"/>
      <c r="K208" s="17"/>
      <c r="N208" s="10"/>
      <c r="O208" s="45"/>
    </row>
    <row r="209" spans="5:15" x14ac:dyDescent="0.2">
      <c r="E209" s="10"/>
      <c r="F209" s="53"/>
      <c r="G209" s="9"/>
      <c r="J209" s="17"/>
      <c r="K209" s="17"/>
      <c r="N209" s="10"/>
      <c r="O209" s="45"/>
    </row>
    <row r="210" spans="5:15" x14ac:dyDescent="0.2">
      <c r="E210" s="10"/>
      <c r="F210" s="53"/>
      <c r="G210" s="9"/>
      <c r="J210" s="17"/>
      <c r="K210" s="17"/>
      <c r="N210" s="10"/>
      <c r="O210" s="45"/>
    </row>
    <row r="211" spans="5:15" x14ac:dyDescent="0.2">
      <c r="E211" s="10"/>
      <c r="F211" s="53"/>
      <c r="G211" s="9"/>
      <c r="J211" s="17"/>
      <c r="K211" s="17"/>
      <c r="N211" s="10"/>
      <c r="O211" s="45"/>
    </row>
    <row r="212" spans="5:15" x14ac:dyDescent="0.2">
      <c r="E212" s="10"/>
      <c r="F212" s="53"/>
      <c r="G212" s="9"/>
      <c r="J212" s="17"/>
      <c r="K212" s="17"/>
      <c r="N212" s="10"/>
      <c r="O212" s="45"/>
    </row>
    <row r="213" spans="5:15" x14ac:dyDescent="0.2">
      <c r="E213" s="10"/>
      <c r="F213" s="53"/>
      <c r="G213" s="9"/>
      <c r="J213" s="17"/>
      <c r="K213" s="17"/>
      <c r="N213" s="10"/>
      <c r="O213" s="45"/>
    </row>
    <row r="214" spans="5:15" x14ac:dyDescent="0.2">
      <c r="E214" s="10"/>
      <c r="F214" s="53"/>
      <c r="G214" s="9"/>
      <c r="J214" s="17"/>
      <c r="K214" s="17"/>
      <c r="N214" s="10"/>
      <c r="O214" s="45"/>
    </row>
    <row r="215" spans="5:15" x14ac:dyDescent="0.2">
      <c r="E215" s="10"/>
      <c r="F215" s="53"/>
      <c r="G215" s="9"/>
      <c r="J215" s="17"/>
      <c r="K215" s="17"/>
      <c r="N215" s="10"/>
      <c r="O215" s="45"/>
    </row>
    <row r="216" spans="5:15" x14ac:dyDescent="0.2">
      <c r="E216" s="10"/>
      <c r="F216" s="53"/>
      <c r="G216" s="9"/>
      <c r="J216" s="17"/>
      <c r="K216" s="17"/>
      <c r="N216" s="10"/>
      <c r="O216" s="45"/>
    </row>
    <row r="217" spans="5:15" x14ac:dyDescent="0.2">
      <c r="E217" s="10"/>
      <c r="F217" s="53"/>
      <c r="G217" s="9"/>
      <c r="J217" s="17"/>
      <c r="K217" s="17"/>
      <c r="N217" s="10"/>
      <c r="O217" s="45"/>
    </row>
    <row r="218" spans="5:15" x14ac:dyDescent="0.2">
      <c r="E218" s="10"/>
      <c r="F218" s="53"/>
      <c r="G218" s="9"/>
      <c r="J218" s="17"/>
      <c r="K218" s="17"/>
      <c r="N218" s="10"/>
      <c r="O218" s="45"/>
    </row>
    <row r="219" spans="5:15" x14ac:dyDescent="0.2">
      <c r="E219" s="10"/>
      <c r="F219" s="53"/>
      <c r="G219" s="9"/>
      <c r="J219" s="17"/>
      <c r="K219" s="17"/>
      <c r="N219" s="10"/>
      <c r="O219" s="45"/>
    </row>
    <row r="220" spans="5:15" x14ac:dyDescent="0.2">
      <c r="E220" s="10"/>
      <c r="F220" s="53"/>
      <c r="G220" s="9"/>
      <c r="J220" s="17"/>
      <c r="K220" s="17"/>
      <c r="N220" s="10"/>
      <c r="O220" s="45"/>
    </row>
    <row r="221" spans="5:15" x14ac:dyDescent="0.2">
      <c r="E221" s="10"/>
      <c r="F221" s="53"/>
      <c r="G221" s="9"/>
      <c r="J221" s="17"/>
      <c r="K221" s="17"/>
      <c r="N221" s="10"/>
      <c r="O221" s="45"/>
    </row>
    <row r="222" spans="5:15" x14ac:dyDescent="0.2">
      <c r="E222" s="10"/>
      <c r="F222" s="53"/>
      <c r="G222" s="9"/>
      <c r="J222" s="17"/>
      <c r="K222" s="17"/>
      <c r="N222" s="10"/>
      <c r="O222" s="45"/>
    </row>
    <row r="223" spans="5:15" x14ac:dyDescent="0.2">
      <c r="E223" s="10"/>
      <c r="F223" s="53"/>
      <c r="G223" s="9"/>
      <c r="J223" s="17"/>
      <c r="K223" s="17"/>
      <c r="N223" s="10"/>
      <c r="O223" s="45"/>
    </row>
    <row r="224" spans="5:15" x14ac:dyDescent="0.2">
      <c r="E224" s="10"/>
      <c r="F224" s="53"/>
      <c r="G224" s="9"/>
      <c r="J224" s="17"/>
      <c r="K224" s="17"/>
      <c r="N224" s="10"/>
      <c r="O224" s="45"/>
    </row>
    <row r="225" spans="5:15" x14ac:dyDescent="0.2">
      <c r="E225" s="10"/>
      <c r="F225" s="53"/>
      <c r="G225" s="9"/>
      <c r="J225" s="17"/>
      <c r="K225" s="17"/>
      <c r="N225" s="10"/>
      <c r="O225" s="45"/>
    </row>
    <row r="226" spans="5:15" x14ac:dyDescent="0.2">
      <c r="E226" s="10"/>
      <c r="F226" s="53"/>
      <c r="G226" s="9"/>
      <c r="J226" s="17"/>
      <c r="K226" s="17"/>
      <c r="N226" s="10"/>
      <c r="O226" s="45"/>
    </row>
    <row r="227" spans="5:15" x14ac:dyDescent="0.2">
      <c r="E227" s="10"/>
      <c r="F227" s="53"/>
      <c r="G227" s="9"/>
      <c r="J227" s="17"/>
      <c r="K227" s="17"/>
      <c r="N227" s="10"/>
      <c r="O227" s="45"/>
    </row>
    <row r="228" spans="5:15" x14ac:dyDescent="0.2">
      <c r="E228" s="10"/>
      <c r="F228" s="53"/>
      <c r="G228" s="9"/>
      <c r="J228" s="17"/>
      <c r="K228" s="17"/>
      <c r="N228" s="10"/>
      <c r="O228" s="45"/>
    </row>
    <row r="229" spans="5:15" x14ac:dyDescent="0.2">
      <c r="E229" s="10"/>
      <c r="F229" s="53"/>
      <c r="G229" s="9"/>
      <c r="J229" s="17"/>
      <c r="K229" s="17"/>
      <c r="N229" s="10"/>
      <c r="O229" s="45"/>
    </row>
    <row r="230" spans="5:15" x14ac:dyDescent="0.2">
      <c r="E230" s="10"/>
      <c r="F230" s="53"/>
      <c r="G230" s="9"/>
      <c r="J230" s="17"/>
      <c r="K230" s="17"/>
      <c r="N230" s="10"/>
      <c r="O230" s="45"/>
    </row>
    <row r="231" spans="5:15" x14ac:dyDescent="0.2">
      <c r="E231" s="10"/>
      <c r="F231" s="53"/>
      <c r="G231" s="9"/>
      <c r="J231" s="17"/>
      <c r="K231" s="17"/>
      <c r="N231" s="10"/>
      <c r="O231" s="45"/>
    </row>
    <row r="232" spans="5:15" x14ac:dyDescent="0.2">
      <c r="E232" s="10"/>
      <c r="F232" s="53"/>
      <c r="G232" s="9"/>
      <c r="J232" s="17"/>
      <c r="K232" s="17"/>
      <c r="N232" s="10"/>
      <c r="O232" s="45"/>
    </row>
    <row r="233" spans="5:15" x14ac:dyDescent="0.2">
      <c r="E233" s="10"/>
      <c r="F233" s="53"/>
      <c r="G233" s="9"/>
      <c r="J233" s="17"/>
      <c r="K233" s="17"/>
      <c r="N233" s="10"/>
      <c r="O233" s="45"/>
    </row>
    <row r="234" spans="5:15" x14ac:dyDescent="0.2">
      <c r="E234" s="10"/>
      <c r="F234" s="53"/>
      <c r="G234" s="9"/>
      <c r="J234" s="17"/>
      <c r="K234" s="17"/>
      <c r="N234" s="10"/>
      <c r="O234" s="45"/>
    </row>
    <row r="235" spans="5:15" x14ac:dyDescent="0.2">
      <c r="E235" s="10"/>
      <c r="F235" s="53"/>
      <c r="G235" s="9"/>
      <c r="J235" s="17"/>
      <c r="K235" s="17"/>
      <c r="N235" s="10"/>
      <c r="O235" s="45"/>
    </row>
    <row r="236" spans="5:15" x14ac:dyDescent="0.2">
      <c r="E236" s="10"/>
      <c r="F236" s="53"/>
      <c r="G236" s="9"/>
      <c r="J236" s="17"/>
      <c r="K236" s="17"/>
      <c r="N236" s="10"/>
      <c r="O236" s="45"/>
    </row>
    <row r="237" spans="5:15" x14ac:dyDescent="0.2">
      <c r="E237" s="10"/>
      <c r="F237" s="53"/>
      <c r="G237" s="9"/>
      <c r="J237" s="17"/>
      <c r="K237" s="17"/>
      <c r="N237" s="10"/>
      <c r="O237" s="45"/>
    </row>
    <row r="238" spans="5:15" x14ac:dyDescent="0.2">
      <c r="E238" s="10"/>
      <c r="F238" s="53"/>
      <c r="G238" s="9"/>
      <c r="J238" s="17"/>
      <c r="K238" s="17"/>
      <c r="N238" s="10"/>
      <c r="O238" s="45"/>
    </row>
    <row r="239" spans="5:15" x14ac:dyDescent="0.2">
      <c r="E239" s="10"/>
      <c r="F239" s="53"/>
      <c r="G239" s="9"/>
      <c r="J239" s="17"/>
      <c r="K239" s="17"/>
      <c r="N239" s="10"/>
      <c r="O239" s="45"/>
    </row>
    <row r="240" spans="5:15" x14ac:dyDescent="0.2">
      <c r="E240" s="10"/>
      <c r="F240" s="53"/>
      <c r="G240" s="9"/>
      <c r="J240" s="17"/>
      <c r="K240" s="17"/>
      <c r="N240" s="10"/>
      <c r="O240" s="45"/>
    </row>
    <row r="241" spans="5:15" x14ac:dyDescent="0.2">
      <c r="E241" s="10"/>
      <c r="F241" s="53"/>
      <c r="G241" s="9"/>
      <c r="J241" s="17"/>
      <c r="K241" s="17"/>
      <c r="N241" s="10"/>
      <c r="O241" s="45"/>
    </row>
    <row r="242" spans="5:15" x14ac:dyDescent="0.2">
      <c r="E242" s="10"/>
      <c r="F242" s="53"/>
      <c r="G242" s="9"/>
      <c r="J242" s="17"/>
      <c r="K242" s="17"/>
      <c r="N242" s="10"/>
      <c r="O242" s="45"/>
    </row>
    <row r="243" spans="5:15" x14ac:dyDescent="0.2">
      <c r="E243" s="10"/>
      <c r="F243" s="53"/>
      <c r="G243" s="9"/>
      <c r="J243" s="17"/>
      <c r="K243" s="17"/>
      <c r="N243" s="10"/>
      <c r="O243" s="45"/>
    </row>
    <row r="244" spans="5:15" x14ac:dyDescent="0.2">
      <c r="E244" s="10"/>
      <c r="F244" s="53"/>
      <c r="G244" s="9"/>
      <c r="J244" s="17"/>
      <c r="K244" s="17"/>
      <c r="N244" s="10"/>
      <c r="O244" s="45"/>
    </row>
    <row r="245" spans="5:15" x14ac:dyDescent="0.2">
      <c r="E245" s="10"/>
      <c r="F245" s="53"/>
      <c r="G245" s="9"/>
      <c r="J245" s="17"/>
      <c r="K245" s="17"/>
      <c r="N245" s="10"/>
      <c r="O245" s="45"/>
    </row>
    <row r="246" spans="5:15" x14ac:dyDescent="0.2">
      <c r="E246" s="10"/>
      <c r="F246" s="53"/>
      <c r="G246" s="9"/>
      <c r="J246" s="17"/>
      <c r="K246" s="17"/>
      <c r="N246" s="10"/>
      <c r="O246" s="45"/>
    </row>
    <row r="247" spans="5:15" x14ac:dyDescent="0.2">
      <c r="E247" s="10"/>
      <c r="F247" s="53"/>
      <c r="G247" s="9"/>
      <c r="J247" s="17"/>
      <c r="K247" s="17"/>
      <c r="N247" s="10"/>
      <c r="O247" s="45"/>
    </row>
    <row r="248" spans="5:15" x14ac:dyDescent="0.2">
      <c r="E248" s="10"/>
      <c r="F248" s="53"/>
      <c r="G248" s="9"/>
      <c r="J248" s="17"/>
      <c r="K248" s="17"/>
      <c r="N248" s="10"/>
      <c r="O248" s="45"/>
    </row>
    <row r="249" spans="5:15" x14ac:dyDescent="0.2">
      <c r="E249" s="10"/>
      <c r="F249" s="53"/>
      <c r="G249" s="9"/>
      <c r="J249" s="17"/>
      <c r="K249" s="17"/>
      <c r="N249" s="10"/>
      <c r="O249" s="45"/>
    </row>
    <row r="250" spans="5:15" x14ac:dyDescent="0.2">
      <c r="E250" s="10"/>
      <c r="F250" s="53"/>
      <c r="G250" s="9"/>
      <c r="J250" s="17"/>
      <c r="K250" s="17"/>
      <c r="N250" s="10"/>
      <c r="O250" s="45"/>
    </row>
    <row r="251" spans="5:15" x14ac:dyDescent="0.2">
      <c r="E251" s="10"/>
      <c r="F251" s="53"/>
      <c r="G251" s="9"/>
      <c r="J251" s="17"/>
      <c r="K251" s="17"/>
      <c r="N251" s="10"/>
      <c r="O251" s="45"/>
    </row>
    <row r="252" spans="5:15" x14ac:dyDescent="0.2">
      <c r="E252" s="10"/>
      <c r="F252" s="53"/>
      <c r="G252" s="9"/>
      <c r="J252" s="17"/>
      <c r="K252" s="17"/>
      <c r="N252" s="10"/>
      <c r="O252" s="45"/>
    </row>
    <row r="253" spans="5:15" x14ac:dyDescent="0.2">
      <c r="E253" s="10"/>
      <c r="F253" s="53"/>
      <c r="G253" s="9"/>
      <c r="J253" s="17"/>
      <c r="K253" s="17"/>
      <c r="N253" s="10"/>
      <c r="O253" s="45"/>
    </row>
    <row r="254" spans="5:15" x14ac:dyDescent="0.2">
      <c r="E254" s="10"/>
      <c r="F254" s="53"/>
      <c r="G254" s="9"/>
      <c r="J254" s="17"/>
      <c r="K254" s="17"/>
      <c r="N254" s="10"/>
      <c r="O254" s="45"/>
    </row>
    <row r="255" spans="5:15" x14ac:dyDescent="0.2">
      <c r="E255" s="10"/>
      <c r="F255" s="53"/>
      <c r="G255" s="9"/>
      <c r="J255" s="17"/>
      <c r="K255" s="17"/>
      <c r="N255" s="10"/>
      <c r="O255" s="45"/>
    </row>
    <row r="256" spans="5:15" x14ac:dyDescent="0.2">
      <c r="E256" s="10"/>
      <c r="F256" s="53"/>
      <c r="G256" s="9"/>
      <c r="J256" s="17"/>
      <c r="K256" s="17"/>
      <c r="N256" s="10"/>
      <c r="O256" s="45"/>
    </row>
    <row r="257" spans="5:15" x14ac:dyDescent="0.2">
      <c r="E257" s="10"/>
      <c r="F257" s="53"/>
      <c r="G257" s="9"/>
      <c r="J257" s="17"/>
      <c r="K257" s="17"/>
      <c r="N257" s="10"/>
      <c r="O257" s="45"/>
    </row>
    <row r="258" spans="5:15" x14ac:dyDescent="0.2">
      <c r="E258" s="10"/>
      <c r="F258" s="53"/>
      <c r="G258" s="9"/>
      <c r="J258" s="17"/>
      <c r="K258" s="17"/>
      <c r="N258" s="10"/>
      <c r="O258" s="45"/>
    </row>
    <row r="259" spans="5:15" x14ac:dyDescent="0.2">
      <c r="E259" s="10"/>
      <c r="F259" s="53"/>
      <c r="G259" s="9"/>
      <c r="J259" s="17"/>
      <c r="K259" s="17"/>
      <c r="N259" s="10"/>
      <c r="O259" s="45"/>
    </row>
    <row r="260" spans="5:15" x14ac:dyDescent="0.2">
      <c r="E260" s="10"/>
      <c r="F260" s="53"/>
      <c r="G260" s="9"/>
      <c r="J260" s="17"/>
      <c r="K260" s="17"/>
      <c r="N260" s="10"/>
      <c r="O260" s="45"/>
    </row>
    <row r="261" spans="5:15" x14ac:dyDescent="0.2">
      <c r="E261" s="10"/>
      <c r="F261" s="53"/>
      <c r="G261" s="9"/>
      <c r="J261" s="17"/>
      <c r="K261" s="17"/>
      <c r="N261" s="10"/>
      <c r="O261" s="45"/>
    </row>
    <row r="262" spans="5:15" x14ac:dyDescent="0.2">
      <c r="E262" s="10"/>
      <c r="F262" s="53"/>
      <c r="G262" s="9"/>
      <c r="J262" s="17"/>
      <c r="K262" s="17"/>
      <c r="N262" s="10"/>
      <c r="O262" s="45"/>
    </row>
    <row r="263" spans="5:15" x14ac:dyDescent="0.2">
      <c r="E263" s="10"/>
      <c r="F263" s="53"/>
      <c r="G263" s="9"/>
      <c r="J263" s="17"/>
      <c r="K263" s="17"/>
      <c r="N263" s="10"/>
      <c r="O263" s="45"/>
    </row>
    <row r="264" spans="5:15" x14ac:dyDescent="0.2">
      <c r="E264" s="10"/>
      <c r="F264" s="53"/>
      <c r="G264" s="9"/>
      <c r="J264" s="17"/>
      <c r="K264" s="17"/>
      <c r="N264" s="10"/>
      <c r="O264" s="45"/>
    </row>
    <row r="265" spans="5:15" x14ac:dyDescent="0.2">
      <c r="E265" s="10"/>
      <c r="F265" s="53"/>
      <c r="G265" s="9"/>
      <c r="J265" s="17"/>
      <c r="K265" s="17"/>
      <c r="N265" s="10"/>
      <c r="O265" s="45"/>
    </row>
    <row r="266" spans="5:15" x14ac:dyDescent="0.2">
      <c r="E266" s="10"/>
      <c r="F266" s="53"/>
      <c r="G266" s="9"/>
      <c r="J266" s="17"/>
      <c r="K266" s="17"/>
      <c r="N266" s="10"/>
      <c r="O266" s="45"/>
    </row>
    <row r="267" spans="5:15" x14ac:dyDescent="0.2">
      <c r="E267" s="10"/>
      <c r="F267" s="53"/>
      <c r="G267" s="9"/>
      <c r="J267" s="17"/>
      <c r="K267" s="17"/>
      <c r="N267" s="10"/>
      <c r="O267" s="45"/>
    </row>
    <row r="268" spans="5:15" x14ac:dyDescent="0.2">
      <c r="E268" s="10"/>
      <c r="F268" s="53"/>
      <c r="G268" s="9"/>
      <c r="J268" s="17"/>
      <c r="K268" s="17"/>
      <c r="N268" s="10"/>
      <c r="O268" s="45"/>
    </row>
    <row r="269" spans="5:15" x14ac:dyDescent="0.2">
      <c r="E269" s="10"/>
      <c r="F269" s="53"/>
      <c r="G269" s="9"/>
      <c r="J269" s="17"/>
      <c r="K269" s="17"/>
      <c r="N269" s="10"/>
      <c r="O269" s="45"/>
    </row>
    <row r="270" spans="5:15" x14ac:dyDescent="0.2">
      <c r="E270" s="10"/>
      <c r="F270" s="53"/>
      <c r="G270" s="9"/>
      <c r="J270" s="17"/>
      <c r="K270" s="17"/>
      <c r="N270" s="10"/>
      <c r="O270" s="45"/>
    </row>
    <row r="271" spans="5:15" x14ac:dyDescent="0.2">
      <c r="E271" s="10"/>
      <c r="F271" s="53"/>
      <c r="G271" s="9"/>
      <c r="J271" s="17"/>
      <c r="K271" s="17"/>
      <c r="N271" s="10"/>
      <c r="O271" s="45"/>
    </row>
    <row r="272" spans="5:15" x14ac:dyDescent="0.2">
      <c r="E272" s="10"/>
      <c r="F272" s="53"/>
      <c r="G272" s="9"/>
      <c r="J272" s="17"/>
      <c r="K272" s="17"/>
      <c r="N272" s="10"/>
      <c r="O272" s="45"/>
    </row>
    <row r="273" spans="5:15" x14ac:dyDescent="0.2">
      <c r="E273" s="10"/>
      <c r="F273" s="53"/>
      <c r="G273" s="9"/>
      <c r="J273" s="17"/>
      <c r="K273" s="17"/>
      <c r="N273" s="10"/>
      <c r="O273" s="45"/>
    </row>
    <row r="274" spans="5:15" x14ac:dyDescent="0.2">
      <c r="E274" s="10"/>
      <c r="F274" s="53"/>
      <c r="G274" s="9"/>
      <c r="J274" s="17"/>
      <c r="K274" s="17"/>
      <c r="N274" s="10"/>
      <c r="O274" s="45"/>
    </row>
    <row r="275" spans="5:15" x14ac:dyDescent="0.2">
      <c r="E275" s="10"/>
      <c r="F275" s="53"/>
      <c r="G275" s="9"/>
      <c r="J275" s="17"/>
      <c r="K275" s="17"/>
      <c r="N275" s="10"/>
      <c r="O275" s="45"/>
    </row>
    <row r="276" spans="5:15" x14ac:dyDescent="0.2">
      <c r="E276" s="10"/>
      <c r="F276" s="53"/>
      <c r="G276" s="9"/>
      <c r="J276" s="17"/>
      <c r="K276" s="17"/>
      <c r="N276" s="10"/>
      <c r="O276" s="45"/>
    </row>
    <row r="277" spans="5:15" x14ac:dyDescent="0.2">
      <c r="E277" s="10"/>
      <c r="F277" s="53"/>
      <c r="G277" s="9"/>
      <c r="J277" s="17"/>
      <c r="K277" s="17"/>
      <c r="N277" s="10"/>
      <c r="O277" s="45"/>
    </row>
    <row r="278" spans="5:15" x14ac:dyDescent="0.2">
      <c r="E278" s="10"/>
      <c r="F278" s="53"/>
      <c r="G278" s="9"/>
      <c r="J278" s="17"/>
      <c r="K278" s="17"/>
      <c r="N278" s="10"/>
      <c r="O278" s="45"/>
    </row>
    <row r="279" spans="5:15" x14ac:dyDescent="0.2">
      <c r="E279" s="10"/>
      <c r="F279" s="53"/>
      <c r="G279" s="9"/>
      <c r="J279" s="17"/>
      <c r="K279" s="17"/>
      <c r="N279" s="10"/>
      <c r="O279" s="45"/>
    </row>
    <row r="280" spans="5:15" x14ac:dyDescent="0.2">
      <c r="E280" s="10"/>
      <c r="F280" s="53"/>
      <c r="G280" s="9"/>
      <c r="J280" s="17"/>
      <c r="K280" s="17"/>
      <c r="N280" s="10"/>
      <c r="O280" s="45"/>
    </row>
    <row r="281" spans="5:15" x14ac:dyDescent="0.2">
      <c r="E281" s="10"/>
      <c r="F281" s="53"/>
      <c r="G281" s="9"/>
      <c r="J281" s="17"/>
      <c r="K281" s="17"/>
      <c r="N281" s="10"/>
      <c r="O281" s="45"/>
    </row>
    <row r="282" spans="5:15" x14ac:dyDescent="0.2">
      <c r="E282" s="10"/>
      <c r="F282" s="53"/>
      <c r="G282" s="9"/>
      <c r="J282" s="17"/>
      <c r="K282" s="17"/>
      <c r="N282" s="10"/>
      <c r="O282" s="45"/>
    </row>
    <row r="283" spans="5:15" x14ac:dyDescent="0.2">
      <c r="E283" s="10"/>
      <c r="F283" s="53"/>
      <c r="G283" s="9"/>
      <c r="J283" s="17"/>
      <c r="K283" s="17"/>
      <c r="N283" s="10"/>
      <c r="O283" s="45"/>
    </row>
    <row r="284" spans="5:15" x14ac:dyDescent="0.2">
      <c r="E284" s="10"/>
      <c r="F284" s="53"/>
      <c r="G284" s="9"/>
      <c r="J284" s="17"/>
      <c r="K284" s="17"/>
      <c r="N284" s="10"/>
      <c r="O284" s="45"/>
    </row>
    <row r="285" spans="5:15" x14ac:dyDescent="0.2">
      <c r="E285" s="10"/>
      <c r="F285" s="53"/>
      <c r="G285" s="9"/>
      <c r="J285" s="17"/>
      <c r="K285" s="17"/>
      <c r="N285" s="10"/>
      <c r="O285" s="45"/>
    </row>
    <row r="286" spans="5:15" x14ac:dyDescent="0.2">
      <c r="E286" s="10"/>
      <c r="F286" s="53"/>
      <c r="G286" s="9"/>
      <c r="J286" s="17"/>
      <c r="K286" s="17"/>
      <c r="N286" s="10"/>
      <c r="O286" s="45"/>
    </row>
    <row r="287" spans="5:15" x14ac:dyDescent="0.2">
      <c r="E287" s="10"/>
      <c r="F287" s="53"/>
      <c r="G287" s="9"/>
      <c r="J287" s="17"/>
      <c r="K287" s="17"/>
      <c r="N287" s="10"/>
      <c r="O287" s="45"/>
    </row>
    <row r="288" spans="5:15" x14ac:dyDescent="0.2">
      <c r="E288" s="10"/>
      <c r="F288" s="53"/>
      <c r="G288" s="9"/>
      <c r="J288" s="17"/>
      <c r="K288" s="17"/>
      <c r="N288" s="10"/>
      <c r="O288" s="45"/>
    </row>
    <row r="289" spans="5:15" x14ac:dyDescent="0.2">
      <c r="E289" s="10"/>
      <c r="F289" s="53"/>
      <c r="G289" s="9"/>
      <c r="J289" s="17"/>
      <c r="K289" s="17"/>
      <c r="N289" s="10"/>
      <c r="O289" s="45"/>
    </row>
    <row r="290" spans="5:15" x14ac:dyDescent="0.2">
      <c r="E290" s="10"/>
      <c r="F290" s="53"/>
      <c r="G290" s="9"/>
      <c r="J290" s="17"/>
      <c r="K290" s="17"/>
      <c r="N290" s="10"/>
      <c r="O290" s="45"/>
    </row>
    <row r="291" spans="5:15" x14ac:dyDescent="0.2">
      <c r="E291" s="10"/>
      <c r="F291" s="53"/>
      <c r="G291" s="9"/>
      <c r="J291" s="17"/>
      <c r="K291" s="17"/>
      <c r="N291" s="10"/>
      <c r="O291" s="45"/>
    </row>
    <row r="292" spans="5:15" x14ac:dyDescent="0.2">
      <c r="E292" s="10"/>
      <c r="F292" s="53"/>
      <c r="G292" s="9"/>
      <c r="J292" s="17"/>
      <c r="K292" s="17"/>
      <c r="N292" s="10"/>
      <c r="O292" s="45"/>
    </row>
    <row r="293" spans="5:15" x14ac:dyDescent="0.2">
      <c r="E293" s="10"/>
      <c r="F293" s="53"/>
      <c r="G293" s="9"/>
      <c r="J293" s="17"/>
      <c r="K293" s="17"/>
      <c r="N293" s="10"/>
      <c r="O293" s="45"/>
    </row>
    <row r="294" spans="5:15" x14ac:dyDescent="0.2">
      <c r="E294" s="10"/>
      <c r="F294" s="53"/>
      <c r="G294" s="9"/>
      <c r="J294" s="17"/>
      <c r="K294" s="17"/>
      <c r="N294" s="10"/>
      <c r="O294" s="45"/>
    </row>
    <row r="295" spans="5:15" x14ac:dyDescent="0.2">
      <c r="E295" s="10"/>
      <c r="F295" s="53"/>
      <c r="G295" s="9"/>
      <c r="J295" s="17"/>
      <c r="K295" s="17"/>
      <c r="N295" s="10"/>
      <c r="O295" s="45"/>
    </row>
    <row r="296" spans="5:15" x14ac:dyDescent="0.2">
      <c r="E296" s="10"/>
      <c r="F296" s="53"/>
      <c r="G296" s="9"/>
      <c r="J296" s="17"/>
      <c r="K296" s="17"/>
      <c r="N296" s="10"/>
      <c r="O296" s="45"/>
    </row>
    <row r="297" spans="5:15" x14ac:dyDescent="0.2">
      <c r="E297" s="10"/>
      <c r="F297" s="53"/>
      <c r="G297" s="9"/>
      <c r="J297" s="17"/>
      <c r="K297" s="17"/>
      <c r="N297" s="10"/>
      <c r="O297" s="45"/>
    </row>
    <row r="298" spans="5:15" x14ac:dyDescent="0.2">
      <c r="E298" s="10"/>
      <c r="F298" s="53"/>
      <c r="G298" s="9"/>
      <c r="J298" s="17"/>
      <c r="K298" s="17"/>
      <c r="N298" s="10"/>
      <c r="O298" s="45"/>
    </row>
    <row r="299" spans="5:15" x14ac:dyDescent="0.2">
      <c r="E299" s="10"/>
      <c r="F299" s="53"/>
      <c r="G299" s="9"/>
      <c r="J299" s="17"/>
      <c r="K299" s="17"/>
      <c r="N299" s="10"/>
      <c r="O299" s="45"/>
    </row>
    <row r="300" spans="5:15" x14ac:dyDescent="0.2">
      <c r="E300" s="10"/>
      <c r="F300" s="53"/>
      <c r="G300" s="9"/>
      <c r="J300" s="17"/>
      <c r="K300" s="17"/>
      <c r="N300" s="10"/>
      <c r="O300" s="45"/>
    </row>
    <row r="301" spans="5:15" x14ac:dyDescent="0.2">
      <c r="E301" s="10"/>
      <c r="F301" s="53"/>
      <c r="G301" s="9"/>
      <c r="J301" s="17"/>
      <c r="K301" s="17"/>
      <c r="N301" s="10"/>
      <c r="O301" s="45"/>
    </row>
    <row r="302" spans="5:15" x14ac:dyDescent="0.2">
      <c r="E302" s="10"/>
      <c r="F302" s="53"/>
      <c r="G302" s="9"/>
      <c r="J302" s="17"/>
      <c r="K302" s="17"/>
      <c r="N302" s="10"/>
      <c r="O302" s="45"/>
    </row>
    <row r="303" spans="5:15" x14ac:dyDescent="0.2">
      <c r="E303" s="10"/>
      <c r="F303" s="53"/>
      <c r="G303" s="9"/>
      <c r="J303" s="17"/>
      <c r="K303" s="17"/>
      <c r="N303" s="10"/>
      <c r="O303" s="45"/>
    </row>
    <row r="304" spans="5:15" x14ac:dyDescent="0.2">
      <c r="E304" s="10"/>
      <c r="F304" s="53"/>
      <c r="G304" s="9"/>
      <c r="J304" s="17"/>
      <c r="K304" s="17"/>
      <c r="N304" s="10"/>
      <c r="O304" s="45"/>
    </row>
    <row r="305" spans="5:15" x14ac:dyDescent="0.2">
      <c r="E305" s="10"/>
      <c r="F305" s="53"/>
      <c r="G305" s="9"/>
      <c r="J305" s="17"/>
      <c r="K305" s="17"/>
      <c r="N305" s="10"/>
      <c r="O305" s="45"/>
    </row>
    <row r="306" spans="5:15" x14ac:dyDescent="0.2">
      <c r="E306" s="10"/>
      <c r="F306" s="53"/>
      <c r="G306" s="9"/>
      <c r="J306" s="17"/>
      <c r="K306" s="17"/>
      <c r="N306" s="10"/>
      <c r="O306" s="45"/>
    </row>
    <row r="307" spans="5:15" x14ac:dyDescent="0.2">
      <c r="E307" s="10"/>
      <c r="F307" s="53"/>
      <c r="G307" s="9"/>
      <c r="J307" s="17"/>
      <c r="K307" s="17"/>
      <c r="N307" s="10"/>
      <c r="O307" s="45"/>
    </row>
    <row r="308" spans="5:15" x14ac:dyDescent="0.2">
      <c r="E308" s="10"/>
      <c r="F308" s="53"/>
      <c r="G308" s="9"/>
      <c r="J308" s="17"/>
      <c r="K308" s="17"/>
      <c r="N308" s="10"/>
      <c r="O308" s="45"/>
    </row>
    <row r="309" spans="5:15" x14ac:dyDescent="0.2">
      <c r="E309" s="10"/>
      <c r="F309" s="53"/>
      <c r="G309" s="9"/>
      <c r="J309" s="17"/>
      <c r="K309" s="17"/>
      <c r="N309" s="10"/>
      <c r="O309" s="45"/>
    </row>
    <row r="310" spans="5:15" x14ac:dyDescent="0.2">
      <c r="E310" s="10"/>
      <c r="F310" s="53"/>
      <c r="G310" s="9"/>
      <c r="J310" s="17"/>
      <c r="K310" s="17"/>
      <c r="N310" s="10"/>
      <c r="O310" s="45"/>
    </row>
    <row r="311" spans="5:15" x14ac:dyDescent="0.2">
      <c r="E311" s="10"/>
      <c r="F311" s="53"/>
      <c r="G311" s="9"/>
      <c r="J311" s="17"/>
      <c r="K311" s="17"/>
      <c r="N311" s="10"/>
      <c r="O311" s="45"/>
    </row>
    <row r="312" spans="5:15" x14ac:dyDescent="0.2">
      <c r="E312" s="10"/>
      <c r="F312" s="53"/>
      <c r="G312" s="9"/>
      <c r="J312" s="17"/>
      <c r="K312" s="17"/>
      <c r="N312" s="10"/>
      <c r="O312" s="45"/>
    </row>
    <row r="313" spans="5:15" x14ac:dyDescent="0.2">
      <c r="E313" s="10"/>
      <c r="F313" s="53"/>
      <c r="G313" s="9"/>
      <c r="J313" s="17"/>
      <c r="K313" s="17"/>
      <c r="N313" s="10"/>
      <c r="O313" s="45"/>
    </row>
    <row r="314" spans="5:15" x14ac:dyDescent="0.2">
      <c r="E314" s="10"/>
      <c r="F314" s="53"/>
      <c r="G314" s="9"/>
      <c r="J314" s="17"/>
      <c r="K314" s="17"/>
      <c r="N314" s="10"/>
      <c r="O314" s="45"/>
    </row>
    <row r="315" spans="5:15" x14ac:dyDescent="0.2">
      <c r="E315" s="10"/>
      <c r="F315" s="53"/>
      <c r="G315" s="9"/>
      <c r="J315" s="17"/>
      <c r="K315" s="17"/>
      <c r="N315" s="10"/>
      <c r="O315" s="45"/>
    </row>
    <row r="316" spans="5:15" x14ac:dyDescent="0.2">
      <c r="E316" s="10"/>
      <c r="F316" s="53"/>
      <c r="G316" s="9"/>
      <c r="J316" s="17"/>
      <c r="K316" s="17"/>
      <c r="N316" s="10"/>
      <c r="O316" s="45"/>
    </row>
    <row r="317" spans="5:15" x14ac:dyDescent="0.2">
      <c r="E317" s="10"/>
      <c r="F317" s="53"/>
      <c r="G317" s="9"/>
      <c r="J317" s="17"/>
      <c r="K317" s="17"/>
      <c r="N317" s="10"/>
      <c r="O317" s="45"/>
    </row>
    <row r="318" spans="5:15" x14ac:dyDescent="0.2">
      <c r="E318" s="10"/>
      <c r="F318" s="53"/>
      <c r="G318" s="9"/>
      <c r="J318" s="17"/>
      <c r="K318" s="17"/>
      <c r="N318" s="10"/>
      <c r="O318" s="45"/>
    </row>
    <row r="319" spans="5:15" x14ac:dyDescent="0.2">
      <c r="E319" s="10"/>
      <c r="F319" s="53"/>
      <c r="G319" s="9"/>
      <c r="J319" s="17"/>
      <c r="K319" s="17"/>
      <c r="N319" s="10"/>
      <c r="O319" s="45"/>
    </row>
    <row r="320" spans="5:15" x14ac:dyDescent="0.2">
      <c r="E320" s="10"/>
      <c r="F320" s="53"/>
      <c r="G320" s="9"/>
      <c r="J320" s="17"/>
      <c r="K320" s="17"/>
      <c r="N320" s="10"/>
      <c r="O320" s="45"/>
    </row>
    <row r="321" spans="5:15" x14ac:dyDescent="0.2">
      <c r="E321" s="10"/>
      <c r="F321" s="53"/>
      <c r="G321" s="9"/>
      <c r="J321" s="17"/>
      <c r="K321" s="17"/>
      <c r="N321" s="10"/>
      <c r="O321" s="45"/>
    </row>
    <row r="322" spans="5:15" x14ac:dyDescent="0.2">
      <c r="E322" s="10"/>
      <c r="F322" s="53"/>
      <c r="G322" s="9"/>
      <c r="J322" s="17"/>
      <c r="K322" s="17"/>
      <c r="N322" s="10"/>
      <c r="O322" s="45"/>
    </row>
    <row r="323" spans="5:15" x14ac:dyDescent="0.2">
      <c r="E323" s="10"/>
      <c r="F323" s="53"/>
      <c r="G323" s="9"/>
      <c r="J323" s="17"/>
      <c r="K323" s="17"/>
      <c r="N323" s="10"/>
      <c r="O323" s="45"/>
    </row>
    <row r="324" spans="5:15" x14ac:dyDescent="0.2">
      <c r="E324" s="10"/>
      <c r="F324" s="53"/>
      <c r="G324" s="9"/>
      <c r="J324" s="17"/>
      <c r="K324" s="17"/>
      <c r="N324" s="10"/>
      <c r="O324" s="45"/>
    </row>
    <row r="325" spans="5:15" x14ac:dyDescent="0.2">
      <c r="E325" s="10"/>
      <c r="F325" s="53"/>
      <c r="G325" s="9"/>
      <c r="J325" s="17"/>
      <c r="K325" s="17"/>
      <c r="N325" s="10"/>
      <c r="O325" s="45"/>
    </row>
    <row r="326" spans="5:15" x14ac:dyDescent="0.2">
      <c r="E326" s="10"/>
      <c r="F326" s="53"/>
      <c r="G326" s="9"/>
      <c r="J326" s="17"/>
      <c r="K326" s="17"/>
      <c r="N326" s="10"/>
      <c r="O326" s="45"/>
    </row>
    <row r="327" spans="5:15" x14ac:dyDescent="0.2">
      <c r="E327" s="10"/>
      <c r="F327" s="53"/>
      <c r="G327" s="9"/>
      <c r="J327" s="17"/>
      <c r="K327" s="17"/>
      <c r="N327" s="10"/>
      <c r="O327" s="45"/>
    </row>
    <row r="328" spans="5:15" x14ac:dyDescent="0.2">
      <c r="E328" s="10"/>
      <c r="F328" s="53"/>
      <c r="G328" s="9"/>
      <c r="J328" s="17"/>
      <c r="K328" s="17"/>
      <c r="N328" s="10"/>
      <c r="O328" s="45"/>
    </row>
    <row r="329" spans="5:15" x14ac:dyDescent="0.2">
      <c r="E329" s="10"/>
      <c r="F329" s="53"/>
      <c r="G329" s="9"/>
      <c r="J329" s="17"/>
      <c r="K329" s="17"/>
      <c r="N329" s="10"/>
      <c r="O329" s="45"/>
    </row>
    <row r="330" spans="5:15" x14ac:dyDescent="0.2">
      <c r="E330" s="10"/>
      <c r="F330" s="53"/>
      <c r="G330" s="9"/>
      <c r="J330" s="17"/>
      <c r="K330" s="17"/>
      <c r="N330" s="10"/>
      <c r="O330" s="45"/>
    </row>
    <row r="331" spans="5:15" x14ac:dyDescent="0.2">
      <c r="E331" s="10"/>
      <c r="F331" s="53"/>
      <c r="G331" s="9"/>
      <c r="J331" s="17"/>
      <c r="K331" s="17"/>
      <c r="N331" s="10"/>
      <c r="O331" s="45"/>
    </row>
    <row r="332" spans="5:15" x14ac:dyDescent="0.2">
      <c r="E332" s="10"/>
      <c r="F332" s="53"/>
      <c r="G332" s="9"/>
      <c r="J332" s="17"/>
      <c r="K332" s="17"/>
      <c r="N332" s="10"/>
      <c r="O332" s="45"/>
    </row>
    <row r="333" spans="5:15" x14ac:dyDescent="0.2">
      <c r="E333" s="10"/>
      <c r="F333" s="53"/>
      <c r="G333" s="9"/>
      <c r="J333" s="17"/>
      <c r="K333" s="17"/>
      <c r="N333" s="10"/>
      <c r="O333" s="45"/>
    </row>
    <row r="334" spans="5:15" x14ac:dyDescent="0.2">
      <c r="E334" s="10"/>
      <c r="F334" s="53"/>
      <c r="G334" s="9"/>
      <c r="J334" s="17"/>
      <c r="K334" s="17"/>
      <c r="N334" s="10"/>
      <c r="O334" s="45"/>
    </row>
    <row r="335" spans="5:15" x14ac:dyDescent="0.2">
      <c r="E335" s="10"/>
      <c r="F335" s="53"/>
      <c r="G335" s="9"/>
      <c r="J335" s="17"/>
      <c r="K335" s="17"/>
      <c r="N335" s="10"/>
      <c r="O335" s="45"/>
    </row>
    <row r="336" spans="5:15" x14ac:dyDescent="0.2">
      <c r="E336" s="10"/>
      <c r="F336" s="53"/>
      <c r="G336" s="9"/>
      <c r="J336" s="17"/>
      <c r="K336" s="17"/>
      <c r="N336" s="10"/>
      <c r="O336" s="45"/>
    </row>
    <row r="337" spans="5:15" x14ac:dyDescent="0.2">
      <c r="E337" s="10"/>
      <c r="F337" s="53"/>
      <c r="G337" s="9"/>
      <c r="J337" s="17"/>
      <c r="K337" s="17"/>
      <c r="N337" s="10"/>
      <c r="O337" s="45"/>
    </row>
    <row r="338" spans="5:15" x14ac:dyDescent="0.2">
      <c r="E338" s="10"/>
      <c r="F338" s="53"/>
      <c r="G338" s="9"/>
      <c r="J338" s="17"/>
      <c r="K338" s="17"/>
      <c r="N338" s="10"/>
      <c r="O338" s="45"/>
    </row>
    <row r="339" spans="5:15" x14ac:dyDescent="0.2">
      <c r="E339" s="10"/>
      <c r="F339" s="53"/>
      <c r="G339" s="9"/>
      <c r="J339" s="17"/>
      <c r="K339" s="17"/>
      <c r="N339" s="10"/>
      <c r="O339" s="45"/>
    </row>
    <row r="340" spans="5:15" x14ac:dyDescent="0.2">
      <c r="E340" s="10"/>
      <c r="F340" s="53"/>
      <c r="G340" s="9"/>
      <c r="J340" s="17"/>
      <c r="K340" s="17"/>
      <c r="N340" s="10"/>
      <c r="O340" s="45"/>
    </row>
    <row r="341" spans="5:15" x14ac:dyDescent="0.2">
      <c r="E341" s="10"/>
      <c r="F341" s="53"/>
      <c r="G341" s="9"/>
      <c r="J341" s="17"/>
      <c r="K341" s="17"/>
      <c r="N341" s="10"/>
      <c r="O341" s="45"/>
    </row>
    <row r="342" spans="5:15" x14ac:dyDescent="0.2">
      <c r="E342" s="10"/>
      <c r="F342" s="53"/>
      <c r="G342" s="9"/>
      <c r="J342" s="17"/>
      <c r="K342" s="17"/>
      <c r="N342" s="10"/>
      <c r="O342" s="45"/>
    </row>
    <row r="343" spans="5:15" x14ac:dyDescent="0.2">
      <c r="E343" s="10"/>
      <c r="F343" s="53"/>
      <c r="G343" s="9"/>
      <c r="J343" s="17"/>
      <c r="K343" s="17"/>
      <c r="N343" s="10"/>
      <c r="O343" s="45"/>
    </row>
    <row r="344" spans="5:15" x14ac:dyDescent="0.2">
      <c r="E344" s="10"/>
      <c r="F344" s="53"/>
      <c r="G344" s="9"/>
      <c r="J344" s="17"/>
      <c r="K344" s="17"/>
      <c r="N344" s="10"/>
      <c r="O344" s="45"/>
    </row>
    <row r="345" spans="5:15" x14ac:dyDescent="0.2">
      <c r="E345" s="10"/>
      <c r="F345" s="53"/>
      <c r="G345" s="9"/>
      <c r="J345" s="17"/>
      <c r="K345" s="17"/>
      <c r="N345" s="10"/>
      <c r="O345" s="45"/>
    </row>
    <row r="346" spans="5:15" x14ac:dyDescent="0.2">
      <c r="E346" s="10"/>
      <c r="F346" s="53"/>
      <c r="G346" s="9"/>
      <c r="J346" s="17"/>
      <c r="K346" s="17"/>
      <c r="N346" s="10"/>
      <c r="O346" s="45"/>
    </row>
    <row r="347" spans="5:15" x14ac:dyDescent="0.2">
      <c r="E347" s="10"/>
      <c r="F347" s="53"/>
      <c r="G347" s="9"/>
      <c r="J347" s="17"/>
      <c r="K347" s="17"/>
      <c r="N347" s="10"/>
      <c r="O347" s="45"/>
    </row>
    <row r="348" spans="5:15" x14ac:dyDescent="0.2">
      <c r="E348" s="10"/>
      <c r="F348" s="53"/>
      <c r="G348" s="9"/>
      <c r="J348" s="17"/>
      <c r="K348" s="17"/>
      <c r="N348" s="10"/>
      <c r="O348" s="45"/>
    </row>
    <row r="349" spans="5:15" x14ac:dyDescent="0.2">
      <c r="E349" s="10"/>
      <c r="F349" s="53"/>
      <c r="G349" s="9"/>
      <c r="J349" s="17"/>
      <c r="K349" s="17"/>
      <c r="N349" s="10"/>
      <c r="O349" s="45"/>
    </row>
    <row r="350" spans="5:15" x14ac:dyDescent="0.2">
      <c r="E350" s="10"/>
      <c r="F350" s="53"/>
      <c r="G350" s="9"/>
      <c r="J350" s="17"/>
      <c r="K350" s="17"/>
      <c r="N350" s="10"/>
      <c r="O350" s="45"/>
    </row>
    <row r="351" spans="5:15" x14ac:dyDescent="0.2">
      <c r="E351" s="10"/>
      <c r="F351" s="53"/>
      <c r="G351" s="9"/>
      <c r="J351" s="17"/>
      <c r="K351" s="17"/>
      <c r="N351" s="10"/>
      <c r="O351" s="45"/>
    </row>
    <row r="352" spans="5:15" x14ac:dyDescent="0.2">
      <c r="E352" s="10"/>
      <c r="F352" s="53"/>
      <c r="G352" s="9"/>
      <c r="J352" s="17"/>
      <c r="K352" s="17"/>
      <c r="N352" s="10"/>
      <c r="O352" s="45"/>
    </row>
    <row r="353" spans="5:15" x14ac:dyDescent="0.2">
      <c r="E353" s="10"/>
      <c r="F353" s="53"/>
      <c r="G353" s="9"/>
      <c r="J353" s="17"/>
      <c r="K353" s="17"/>
      <c r="N353" s="10"/>
      <c r="O353" s="45"/>
    </row>
    <row r="354" spans="5:15" x14ac:dyDescent="0.2">
      <c r="E354" s="10"/>
      <c r="F354" s="53"/>
      <c r="G354" s="9"/>
      <c r="J354" s="17"/>
      <c r="K354" s="17"/>
      <c r="N354" s="10"/>
      <c r="O354" s="45"/>
    </row>
    <row r="355" spans="5:15" x14ac:dyDescent="0.2">
      <c r="E355" s="10"/>
      <c r="F355" s="53"/>
      <c r="G355" s="9"/>
      <c r="J355" s="17"/>
      <c r="K355" s="17"/>
      <c r="N355" s="10"/>
      <c r="O355" s="45"/>
    </row>
    <row r="356" spans="5:15" x14ac:dyDescent="0.2">
      <c r="E356" s="10"/>
      <c r="F356" s="53"/>
      <c r="G356" s="9"/>
      <c r="J356" s="17"/>
      <c r="K356" s="17"/>
      <c r="N356" s="10"/>
      <c r="O356" s="45"/>
    </row>
    <row r="357" spans="5:15" x14ac:dyDescent="0.2">
      <c r="E357" s="10"/>
      <c r="F357" s="53"/>
      <c r="G357" s="9"/>
      <c r="J357" s="17"/>
      <c r="K357" s="17"/>
      <c r="N357" s="10"/>
      <c r="O357" s="45"/>
    </row>
    <row r="358" spans="5:15" x14ac:dyDescent="0.2">
      <c r="E358" s="10"/>
      <c r="F358" s="53"/>
      <c r="G358" s="9"/>
      <c r="J358" s="17"/>
      <c r="K358" s="17"/>
      <c r="N358" s="10"/>
      <c r="O358" s="45"/>
    </row>
    <row r="359" spans="5:15" x14ac:dyDescent="0.2">
      <c r="E359" s="10"/>
      <c r="F359" s="53"/>
      <c r="G359" s="9"/>
      <c r="J359" s="17"/>
      <c r="K359" s="17"/>
      <c r="N359" s="10"/>
      <c r="O359" s="45"/>
    </row>
    <row r="360" spans="5:15" x14ac:dyDescent="0.2">
      <c r="E360" s="10"/>
      <c r="F360" s="53"/>
      <c r="G360" s="9"/>
      <c r="J360" s="17"/>
      <c r="K360" s="17"/>
      <c r="N360" s="10"/>
      <c r="O360" s="45"/>
    </row>
    <row r="361" spans="5:15" x14ac:dyDescent="0.2">
      <c r="E361" s="10"/>
      <c r="F361" s="53"/>
      <c r="G361" s="9"/>
      <c r="J361" s="17"/>
      <c r="K361" s="17"/>
      <c r="N361" s="10"/>
      <c r="O361" s="45"/>
    </row>
    <row r="362" spans="5:15" x14ac:dyDescent="0.2">
      <c r="E362" s="10"/>
      <c r="F362" s="53"/>
      <c r="G362" s="9"/>
      <c r="J362" s="17"/>
      <c r="K362" s="17"/>
      <c r="N362" s="10"/>
      <c r="O362" s="45"/>
    </row>
    <row r="363" spans="5:15" x14ac:dyDescent="0.2">
      <c r="E363" s="10"/>
      <c r="F363" s="53"/>
      <c r="G363" s="9"/>
      <c r="J363" s="17"/>
      <c r="K363" s="17"/>
      <c r="N363" s="10"/>
      <c r="O363" s="45"/>
    </row>
    <row r="364" spans="5:15" x14ac:dyDescent="0.2">
      <c r="E364" s="10"/>
      <c r="F364" s="53"/>
      <c r="G364" s="9"/>
      <c r="J364" s="17"/>
      <c r="K364" s="17"/>
      <c r="N364" s="10"/>
      <c r="O364" s="45"/>
    </row>
    <row r="365" spans="5:15" x14ac:dyDescent="0.2">
      <c r="E365" s="10"/>
      <c r="F365" s="53"/>
      <c r="G365" s="9"/>
      <c r="J365" s="17"/>
      <c r="K365" s="17"/>
      <c r="N365" s="10"/>
      <c r="O365" s="45"/>
    </row>
    <row r="366" spans="5:15" x14ac:dyDescent="0.2">
      <c r="E366" s="10"/>
      <c r="F366" s="53"/>
      <c r="G366" s="9"/>
      <c r="J366" s="17"/>
      <c r="K366" s="17"/>
      <c r="N366" s="10"/>
      <c r="O366" s="45"/>
    </row>
    <row r="367" spans="5:15" x14ac:dyDescent="0.2">
      <c r="E367" s="10"/>
      <c r="F367" s="53"/>
      <c r="G367" s="9"/>
      <c r="J367" s="17"/>
      <c r="K367" s="17"/>
      <c r="N367" s="10"/>
      <c r="O367" s="45"/>
    </row>
    <row r="368" spans="5:15" x14ac:dyDescent="0.2">
      <c r="E368" s="10"/>
      <c r="F368" s="53"/>
      <c r="G368" s="9"/>
      <c r="J368" s="17"/>
      <c r="K368" s="17"/>
      <c r="N368" s="10"/>
      <c r="O368" s="45"/>
    </row>
    <row r="369" spans="5:15" x14ac:dyDescent="0.2">
      <c r="E369" s="10"/>
      <c r="F369" s="53"/>
      <c r="G369" s="9"/>
      <c r="J369" s="17"/>
      <c r="K369" s="17"/>
      <c r="N369" s="10"/>
      <c r="O369" s="45"/>
    </row>
    <row r="370" spans="5:15" x14ac:dyDescent="0.2">
      <c r="E370" s="10"/>
      <c r="F370" s="53"/>
      <c r="G370" s="9"/>
      <c r="J370" s="17"/>
      <c r="K370" s="17"/>
      <c r="N370" s="10"/>
      <c r="O370" s="45"/>
    </row>
    <row r="371" spans="5:15" x14ac:dyDescent="0.2">
      <c r="E371" s="10"/>
      <c r="F371" s="53"/>
      <c r="G371" s="9"/>
      <c r="J371" s="17"/>
      <c r="K371" s="17"/>
      <c r="N371" s="10"/>
      <c r="O371" s="45"/>
    </row>
    <row r="372" spans="5:15" x14ac:dyDescent="0.2">
      <c r="E372" s="10"/>
      <c r="F372" s="53"/>
      <c r="G372" s="9"/>
      <c r="J372" s="17"/>
      <c r="K372" s="17"/>
      <c r="N372" s="10"/>
      <c r="O372" s="45"/>
    </row>
    <row r="373" spans="5:15" x14ac:dyDescent="0.2">
      <c r="E373" s="10"/>
      <c r="F373" s="53"/>
      <c r="G373" s="9"/>
      <c r="J373" s="17"/>
      <c r="K373" s="17"/>
      <c r="N373" s="10"/>
      <c r="O373" s="45"/>
    </row>
    <row r="374" spans="5:15" x14ac:dyDescent="0.2">
      <c r="E374" s="10"/>
      <c r="F374" s="53"/>
      <c r="G374" s="9"/>
      <c r="J374" s="17"/>
      <c r="K374" s="17"/>
      <c r="N374" s="10"/>
      <c r="O374" s="45"/>
    </row>
    <row r="375" spans="5:15" x14ac:dyDescent="0.2">
      <c r="E375" s="10"/>
      <c r="F375" s="53"/>
      <c r="G375" s="9"/>
      <c r="J375" s="17"/>
      <c r="K375" s="17"/>
      <c r="N375" s="10"/>
      <c r="O375" s="45"/>
    </row>
    <row r="376" spans="5:15" x14ac:dyDescent="0.2">
      <c r="E376" s="10"/>
      <c r="F376" s="53"/>
      <c r="G376" s="9"/>
      <c r="J376" s="17"/>
      <c r="K376" s="17"/>
      <c r="N376" s="10"/>
      <c r="O376" s="45"/>
    </row>
    <row r="377" spans="5:15" x14ac:dyDescent="0.2">
      <c r="E377" s="10"/>
      <c r="F377" s="53"/>
      <c r="G377" s="9"/>
      <c r="J377" s="17"/>
      <c r="K377" s="17"/>
      <c r="N377" s="10"/>
      <c r="O377" s="45"/>
    </row>
    <row r="378" spans="5:15" x14ac:dyDescent="0.2">
      <c r="E378" s="10"/>
      <c r="F378" s="53"/>
      <c r="G378" s="9"/>
      <c r="J378" s="17"/>
      <c r="K378" s="17"/>
      <c r="N378" s="10"/>
      <c r="O378" s="45"/>
    </row>
    <row r="379" spans="5:15" x14ac:dyDescent="0.2">
      <c r="E379" s="10"/>
      <c r="F379" s="53"/>
      <c r="G379" s="9"/>
      <c r="J379" s="17"/>
      <c r="K379" s="17"/>
      <c r="N379" s="10"/>
      <c r="O379" s="45"/>
    </row>
    <row r="380" spans="5:15" x14ac:dyDescent="0.2">
      <c r="E380" s="10"/>
      <c r="F380" s="53"/>
      <c r="G380" s="9"/>
      <c r="J380" s="17"/>
      <c r="K380" s="17"/>
      <c r="N380" s="10"/>
      <c r="O380" s="45"/>
    </row>
    <row r="381" spans="5:15" x14ac:dyDescent="0.2">
      <c r="E381" s="10"/>
      <c r="F381" s="53"/>
      <c r="G381" s="9"/>
      <c r="J381" s="17"/>
      <c r="K381" s="17"/>
      <c r="N381" s="10"/>
      <c r="O381" s="45"/>
    </row>
    <row r="382" spans="5:15" x14ac:dyDescent="0.2">
      <c r="E382" s="10"/>
      <c r="F382" s="53"/>
      <c r="G382" s="9"/>
      <c r="J382" s="17"/>
      <c r="K382" s="17"/>
      <c r="N382" s="10"/>
      <c r="O382" s="45"/>
    </row>
    <row r="383" spans="5:15" x14ac:dyDescent="0.2">
      <c r="E383" s="10"/>
      <c r="F383" s="53"/>
      <c r="G383" s="9"/>
      <c r="J383" s="17"/>
      <c r="K383" s="17"/>
      <c r="N383" s="10"/>
      <c r="O383" s="45"/>
    </row>
    <row r="384" spans="5:15" x14ac:dyDescent="0.2">
      <c r="E384" s="10"/>
      <c r="F384" s="53"/>
      <c r="G384" s="9"/>
      <c r="J384" s="17"/>
      <c r="K384" s="17"/>
      <c r="N384" s="10"/>
      <c r="O384" s="45"/>
    </row>
    <row r="385" spans="5:15" x14ac:dyDescent="0.2">
      <c r="E385" s="10"/>
      <c r="F385" s="53"/>
      <c r="G385" s="9"/>
      <c r="J385" s="17"/>
      <c r="K385" s="17"/>
      <c r="N385" s="10"/>
      <c r="O385" s="45"/>
    </row>
    <row r="386" spans="5:15" x14ac:dyDescent="0.2">
      <c r="E386" s="10"/>
      <c r="F386" s="53"/>
      <c r="G386" s="9"/>
      <c r="J386" s="17"/>
      <c r="K386" s="17"/>
      <c r="N386" s="10"/>
      <c r="O386" s="45"/>
    </row>
    <row r="387" spans="5:15" x14ac:dyDescent="0.2">
      <c r="E387" s="10"/>
      <c r="F387" s="53"/>
      <c r="G387" s="9"/>
      <c r="J387" s="17"/>
      <c r="K387" s="17"/>
      <c r="N387" s="10"/>
      <c r="O387" s="45"/>
    </row>
    <row r="388" spans="5:15" x14ac:dyDescent="0.2">
      <c r="E388" s="10"/>
      <c r="F388" s="53"/>
      <c r="G388" s="9"/>
      <c r="J388" s="17"/>
      <c r="K388" s="17"/>
      <c r="N388" s="10"/>
      <c r="O388" s="45"/>
    </row>
    <row r="389" spans="5:15" x14ac:dyDescent="0.2">
      <c r="E389" s="10"/>
      <c r="F389" s="53"/>
      <c r="G389" s="9"/>
      <c r="J389" s="17"/>
      <c r="K389" s="17"/>
      <c r="N389" s="10"/>
      <c r="O389" s="45"/>
    </row>
    <row r="390" spans="5:15" x14ac:dyDescent="0.2">
      <c r="E390" s="10"/>
      <c r="F390" s="53"/>
      <c r="G390" s="9"/>
      <c r="J390" s="17"/>
      <c r="K390" s="17"/>
      <c r="N390" s="10"/>
      <c r="O390" s="45"/>
    </row>
    <row r="391" spans="5:15" x14ac:dyDescent="0.2">
      <c r="E391" s="10"/>
      <c r="F391" s="53"/>
      <c r="G391" s="9"/>
      <c r="J391" s="17"/>
      <c r="K391" s="17"/>
      <c r="N391" s="10"/>
      <c r="O391" s="45"/>
    </row>
    <row r="392" spans="5:15" x14ac:dyDescent="0.2">
      <c r="E392" s="10"/>
      <c r="F392" s="53"/>
      <c r="G392" s="9"/>
      <c r="J392" s="17"/>
      <c r="K392" s="17"/>
      <c r="N392" s="10"/>
      <c r="O392" s="45"/>
    </row>
    <row r="393" spans="5:15" x14ac:dyDescent="0.2">
      <c r="E393" s="10"/>
      <c r="F393" s="53"/>
      <c r="G393" s="9"/>
      <c r="J393" s="17"/>
      <c r="K393" s="17"/>
      <c r="N393" s="10"/>
      <c r="O393" s="45"/>
    </row>
    <row r="394" spans="5:15" x14ac:dyDescent="0.2">
      <c r="E394" s="10"/>
      <c r="F394" s="53"/>
      <c r="G394" s="9"/>
      <c r="J394" s="17"/>
      <c r="K394" s="17"/>
      <c r="N394" s="10"/>
      <c r="O394" s="45"/>
    </row>
    <row r="395" spans="5:15" x14ac:dyDescent="0.2">
      <c r="E395" s="10"/>
      <c r="F395" s="53"/>
      <c r="G395" s="9"/>
      <c r="J395" s="17"/>
      <c r="K395" s="17"/>
      <c r="N395" s="10"/>
      <c r="O395" s="45"/>
    </row>
    <row r="396" spans="5:15" x14ac:dyDescent="0.2">
      <c r="E396" s="10"/>
      <c r="F396" s="53"/>
      <c r="G396" s="9"/>
      <c r="J396" s="17"/>
      <c r="K396" s="17"/>
      <c r="N396" s="10"/>
      <c r="O396" s="45"/>
    </row>
    <row r="397" spans="5:15" x14ac:dyDescent="0.2">
      <c r="E397" s="10"/>
      <c r="F397" s="53"/>
      <c r="G397" s="9"/>
      <c r="J397" s="17"/>
      <c r="K397" s="17"/>
      <c r="N397" s="10"/>
      <c r="O397" s="45"/>
    </row>
    <row r="398" spans="5:15" x14ac:dyDescent="0.2">
      <c r="E398" s="10"/>
      <c r="F398" s="53"/>
      <c r="G398" s="9"/>
      <c r="J398" s="17"/>
      <c r="K398" s="17"/>
      <c r="N398" s="10"/>
      <c r="O398" s="45"/>
    </row>
    <row r="399" spans="5:15" x14ac:dyDescent="0.2">
      <c r="E399" s="10"/>
      <c r="F399" s="53"/>
      <c r="G399" s="9"/>
      <c r="J399" s="17"/>
      <c r="K399" s="17"/>
      <c r="N399" s="10"/>
      <c r="O399" s="45"/>
    </row>
    <row r="400" spans="5:15" x14ac:dyDescent="0.2">
      <c r="E400" s="10"/>
      <c r="F400" s="53"/>
      <c r="G400" s="9"/>
      <c r="J400" s="17"/>
      <c r="K400" s="17"/>
      <c r="N400" s="10"/>
      <c r="O400" s="45"/>
    </row>
    <row r="401" spans="5:15" x14ac:dyDescent="0.2">
      <c r="E401" s="10"/>
      <c r="F401" s="53"/>
      <c r="G401" s="9"/>
      <c r="J401" s="17"/>
      <c r="K401" s="17"/>
      <c r="N401" s="10"/>
      <c r="O401" s="45"/>
    </row>
    <row r="402" spans="5:15" x14ac:dyDescent="0.2">
      <c r="E402" s="10"/>
      <c r="F402" s="53"/>
      <c r="G402" s="9"/>
      <c r="J402" s="17"/>
      <c r="K402" s="17"/>
      <c r="N402" s="10"/>
      <c r="O402" s="45"/>
    </row>
    <row r="403" spans="5:15" x14ac:dyDescent="0.2">
      <c r="E403" s="10"/>
      <c r="F403" s="53"/>
      <c r="G403" s="9"/>
      <c r="J403" s="17"/>
      <c r="K403" s="17"/>
      <c r="N403" s="10"/>
      <c r="O403" s="45"/>
    </row>
    <row r="404" spans="5:15" x14ac:dyDescent="0.2">
      <c r="E404" s="10"/>
      <c r="F404" s="53"/>
      <c r="G404" s="9"/>
      <c r="J404" s="17"/>
      <c r="K404" s="17"/>
      <c r="N404" s="10"/>
      <c r="O404" s="45"/>
    </row>
    <row r="405" spans="5:15" x14ac:dyDescent="0.2">
      <c r="E405" s="10"/>
      <c r="F405" s="53"/>
      <c r="G405" s="9"/>
      <c r="J405" s="17"/>
      <c r="K405" s="17"/>
      <c r="N405" s="10"/>
      <c r="O405" s="45"/>
    </row>
    <row r="406" spans="5:15" x14ac:dyDescent="0.2">
      <c r="E406" s="10"/>
      <c r="F406" s="53"/>
      <c r="G406" s="9"/>
      <c r="J406" s="17"/>
      <c r="K406" s="17"/>
      <c r="N406" s="10"/>
      <c r="O406" s="45"/>
    </row>
    <row r="407" spans="5:15" x14ac:dyDescent="0.2">
      <c r="E407" s="10"/>
      <c r="F407" s="53"/>
      <c r="G407" s="9"/>
      <c r="J407" s="17"/>
      <c r="K407" s="17"/>
      <c r="N407" s="10"/>
      <c r="O407" s="45"/>
    </row>
    <row r="408" spans="5:15" x14ac:dyDescent="0.2">
      <c r="E408" s="10"/>
      <c r="F408" s="53"/>
      <c r="G408" s="9"/>
      <c r="J408" s="17"/>
      <c r="K408" s="17"/>
      <c r="N408" s="10"/>
      <c r="O408" s="45"/>
    </row>
    <row r="409" spans="5:15" x14ac:dyDescent="0.2">
      <c r="E409" s="10"/>
      <c r="F409" s="53"/>
      <c r="G409" s="9"/>
      <c r="J409" s="17"/>
      <c r="K409" s="17"/>
      <c r="N409" s="10"/>
      <c r="O409" s="45"/>
    </row>
    <row r="410" spans="5:15" x14ac:dyDescent="0.2">
      <c r="E410" s="10"/>
      <c r="F410" s="53"/>
      <c r="G410" s="9"/>
      <c r="J410" s="17"/>
      <c r="K410" s="17"/>
      <c r="N410" s="10"/>
      <c r="O410" s="45"/>
    </row>
    <row r="411" spans="5:15" x14ac:dyDescent="0.2">
      <c r="E411" s="10"/>
      <c r="F411" s="53"/>
      <c r="G411" s="9"/>
      <c r="J411" s="17"/>
      <c r="K411" s="17"/>
      <c r="N411" s="10"/>
      <c r="O411" s="45"/>
    </row>
    <row r="412" spans="5:15" x14ac:dyDescent="0.2">
      <c r="E412" s="10"/>
      <c r="F412" s="53"/>
      <c r="G412" s="9"/>
      <c r="J412" s="17"/>
      <c r="K412" s="17"/>
      <c r="N412" s="10"/>
      <c r="O412" s="45"/>
    </row>
    <row r="413" spans="5:15" x14ac:dyDescent="0.2">
      <c r="E413" s="10"/>
      <c r="F413" s="53"/>
      <c r="G413" s="9"/>
      <c r="J413" s="17"/>
      <c r="K413" s="17"/>
      <c r="N413" s="10"/>
      <c r="O413" s="45"/>
    </row>
    <row r="414" spans="5:15" x14ac:dyDescent="0.2">
      <c r="E414" s="10"/>
      <c r="F414" s="53"/>
      <c r="G414" s="9"/>
      <c r="J414" s="17"/>
      <c r="K414" s="17"/>
      <c r="N414" s="10"/>
      <c r="O414" s="45"/>
    </row>
    <row r="415" spans="5:15" x14ac:dyDescent="0.2">
      <c r="E415" s="10"/>
      <c r="F415" s="53"/>
      <c r="G415" s="9"/>
      <c r="J415" s="17"/>
      <c r="K415" s="17"/>
      <c r="N415" s="10"/>
      <c r="O415" s="45"/>
    </row>
    <row r="416" spans="5:15" x14ac:dyDescent="0.2">
      <c r="E416" s="10"/>
      <c r="F416" s="53"/>
      <c r="G416" s="9"/>
      <c r="J416" s="17"/>
      <c r="K416" s="17"/>
      <c r="N416" s="10"/>
      <c r="O416" s="45"/>
    </row>
    <row r="417" spans="5:15" x14ac:dyDescent="0.2">
      <c r="E417" s="10"/>
      <c r="F417" s="53"/>
      <c r="G417" s="9"/>
      <c r="J417" s="17"/>
      <c r="K417" s="17"/>
      <c r="N417" s="10"/>
      <c r="O417" s="45"/>
    </row>
    <row r="418" spans="5:15" x14ac:dyDescent="0.2">
      <c r="E418" s="10"/>
      <c r="F418" s="53"/>
      <c r="G418" s="9"/>
      <c r="J418" s="17"/>
      <c r="K418" s="17"/>
      <c r="N418" s="10"/>
      <c r="O418" s="45"/>
    </row>
    <row r="419" spans="5:15" x14ac:dyDescent="0.2">
      <c r="E419" s="10"/>
      <c r="F419" s="53"/>
      <c r="G419" s="9"/>
      <c r="J419" s="17"/>
      <c r="K419" s="17"/>
      <c r="N419" s="10"/>
      <c r="O419" s="45"/>
    </row>
    <row r="420" spans="5:15" x14ac:dyDescent="0.2">
      <c r="E420" s="10"/>
      <c r="F420" s="53"/>
      <c r="G420" s="9"/>
      <c r="J420" s="17"/>
      <c r="K420" s="17"/>
      <c r="N420" s="10"/>
      <c r="O420" s="45"/>
    </row>
    <row r="421" spans="5:15" x14ac:dyDescent="0.2">
      <c r="E421" s="10"/>
      <c r="F421" s="53"/>
      <c r="G421" s="9"/>
      <c r="J421" s="17"/>
      <c r="K421" s="17"/>
      <c r="N421" s="10"/>
      <c r="O421" s="45"/>
    </row>
    <row r="422" spans="5:15" x14ac:dyDescent="0.2">
      <c r="E422" s="10"/>
      <c r="F422" s="53"/>
      <c r="G422" s="9"/>
      <c r="J422" s="17"/>
      <c r="K422" s="17"/>
      <c r="N422" s="10"/>
      <c r="O422" s="45"/>
    </row>
    <row r="423" spans="5:15" x14ac:dyDescent="0.2">
      <c r="E423" s="10"/>
      <c r="F423" s="53"/>
      <c r="G423" s="9"/>
      <c r="J423" s="17"/>
      <c r="K423" s="17"/>
      <c r="N423" s="10"/>
      <c r="O423" s="45"/>
    </row>
    <row r="424" spans="5:15" x14ac:dyDescent="0.2">
      <c r="E424" s="10"/>
      <c r="F424" s="53"/>
      <c r="G424" s="9"/>
      <c r="J424" s="17"/>
      <c r="K424" s="17"/>
      <c r="N424" s="10"/>
      <c r="O424" s="45"/>
    </row>
    <row r="425" spans="5:15" x14ac:dyDescent="0.2">
      <c r="E425" s="10"/>
      <c r="F425" s="53"/>
      <c r="G425" s="9"/>
      <c r="J425" s="17"/>
      <c r="K425" s="17"/>
      <c r="N425" s="10"/>
      <c r="O425" s="45"/>
    </row>
    <row r="426" spans="5:15" x14ac:dyDescent="0.2">
      <c r="E426" s="10"/>
      <c r="F426" s="53"/>
      <c r="G426" s="9"/>
      <c r="J426" s="17"/>
      <c r="K426" s="17"/>
      <c r="N426" s="10"/>
      <c r="O426" s="45"/>
    </row>
    <row r="427" spans="5:15" x14ac:dyDescent="0.2">
      <c r="E427" s="10"/>
      <c r="F427" s="53"/>
      <c r="G427" s="9"/>
      <c r="J427" s="17"/>
      <c r="K427" s="17"/>
      <c r="N427" s="10"/>
      <c r="O427" s="45"/>
    </row>
    <row r="428" spans="5:15" x14ac:dyDescent="0.2">
      <c r="E428" s="10"/>
      <c r="F428" s="53"/>
      <c r="G428" s="9"/>
      <c r="J428" s="17"/>
      <c r="K428" s="17"/>
      <c r="N428" s="10"/>
      <c r="O428" s="45"/>
    </row>
    <row r="429" spans="5:15" x14ac:dyDescent="0.2">
      <c r="E429" s="10"/>
      <c r="F429" s="53"/>
      <c r="G429" s="9"/>
      <c r="J429" s="17"/>
      <c r="K429" s="17"/>
      <c r="N429" s="10"/>
      <c r="O429" s="45"/>
    </row>
    <row r="430" spans="5:15" x14ac:dyDescent="0.2">
      <c r="E430" s="10"/>
      <c r="F430" s="53"/>
      <c r="G430" s="9"/>
      <c r="J430" s="17"/>
      <c r="K430" s="17"/>
      <c r="N430" s="10"/>
      <c r="O430" s="45"/>
    </row>
    <row r="431" spans="5:15" x14ac:dyDescent="0.2">
      <c r="E431" s="10"/>
      <c r="F431" s="53"/>
      <c r="G431" s="9"/>
      <c r="J431" s="17"/>
      <c r="K431" s="17"/>
      <c r="N431" s="10"/>
      <c r="O431" s="45"/>
    </row>
    <row r="432" spans="5:15" x14ac:dyDescent="0.2">
      <c r="E432" s="10"/>
      <c r="F432" s="53"/>
      <c r="G432" s="9"/>
      <c r="J432" s="17"/>
      <c r="K432" s="17"/>
      <c r="N432" s="10"/>
      <c r="O432" s="45"/>
    </row>
    <row r="433" spans="5:15" x14ac:dyDescent="0.2">
      <c r="E433" s="10"/>
      <c r="F433" s="53"/>
      <c r="G433" s="9"/>
      <c r="J433" s="17"/>
      <c r="K433" s="17"/>
      <c r="N433" s="10"/>
      <c r="O433" s="45"/>
    </row>
    <row r="434" spans="5:15" x14ac:dyDescent="0.2">
      <c r="E434" s="10"/>
      <c r="F434" s="53"/>
      <c r="G434" s="9"/>
      <c r="J434" s="17"/>
      <c r="K434" s="17"/>
      <c r="N434" s="10"/>
      <c r="O434" s="45"/>
    </row>
    <row r="435" spans="5:15" x14ac:dyDescent="0.2">
      <c r="E435" s="10"/>
      <c r="F435" s="53"/>
      <c r="G435" s="9"/>
      <c r="J435" s="17"/>
      <c r="K435" s="17"/>
      <c r="N435" s="10"/>
      <c r="O435" s="45"/>
    </row>
    <row r="436" spans="5:15" x14ac:dyDescent="0.2">
      <c r="E436" s="10"/>
      <c r="F436" s="53"/>
      <c r="G436" s="9"/>
      <c r="J436" s="17"/>
      <c r="K436" s="17"/>
      <c r="N436" s="10"/>
      <c r="O436" s="45"/>
    </row>
    <row r="437" spans="5:15" x14ac:dyDescent="0.2">
      <c r="E437" s="10"/>
      <c r="F437" s="53"/>
      <c r="G437" s="9"/>
      <c r="J437" s="17"/>
      <c r="K437" s="17"/>
      <c r="N437" s="10"/>
      <c r="O437" s="45"/>
    </row>
    <row r="438" spans="5:15" x14ac:dyDescent="0.2">
      <c r="E438" s="10"/>
      <c r="F438" s="53"/>
      <c r="G438" s="9"/>
      <c r="J438" s="17"/>
      <c r="K438" s="17"/>
      <c r="N438" s="10"/>
      <c r="O438" s="45"/>
    </row>
    <row r="439" spans="5:15" x14ac:dyDescent="0.2">
      <c r="E439" s="10"/>
      <c r="F439" s="53"/>
      <c r="G439" s="9"/>
      <c r="J439" s="17"/>
      <c r="K439" s="17"/>
      <c r="N439" s="10"/>
      <c r="O439" s="45"/>
    </row>
    <row r="440" spans="5:15" x14ac:dyDescent="0.2">
      <c r="E440" s="10"/>
      <c r="F440" s="53"/>
      <c r="G440" s="9"/>
      <c r="J440" s="17"/>
      <c r="K440" s="17"/>
      <c r="N440" s="10"/>
      <c r="O440" s="45"/>
    </row>
    <row r="441" spans="5:15" x14ac:dyDescent="0.2">
      <c r="E441" s="10"/>
      <c r="F441" s="53"/>
      <c r="G441" s="9"/>
      <c r="J441" s="17"/>
      <c r="K441" s="17"/>
      <c r="N441" s="10"/>
      <c r="O441" s="45"/>
    </row>
    <row r="442" spans="5:15" x14ac:dyDescent="0.2">
      <c r="E442" s="10"/>
      <c r="F442" s="53"/>
      <c r="G442" s="9"/>
      <c r="J442" s="17"/>
      <c r="K442" s="17"/>
      <c r="N442" s="10"/>
      <c r="O442" s="45"/>
    </row>
    <row r="443" spans="5:15" x14ac:dyDescent="0.2">
      <c r="E443" s="10"/>
      <c r="F443" s="53"/>
      <c r="G443" s="9"/>
      <c r="J443" s="17"/>
      <c r="K443" s="17"/>
      <c r="N443" s="10"/>
      <c r="O443" s="45"/>
    </row>
    <row r="444" spans="5:15" x14ac:dyDescent="0.2">
      <c r="E444" s="10"/>
      <c r="F444" s="53"/>
      <c r="G444" s="9"/>
      <c r="J444" s="17"/>
      <c r="K444" s="17"/>
      <c r="N444" s="10"/>
      <c r="O444" s="45"/>
    </row>
    <row r="445" spans="5:15" x14ac:dyDescent="0.2">
      <c r="E445" s="10"/>
      <c r="F445" s="53"/>
      <c r="G445" s="9"/>
      <c r="J445" s="17"/>
      <c r="K445" s="17"/>
      <c r="N445" s="10"/>
      <c r="O445" s="45"/>
    </row>
    <row r="446" spans="5:15" x14ac:dyDescent="0.2">
      <c r="E446" s="10"/>
      <c r="F446" s="53"/>
      <c r="G446" s="9"/>
      <c r="J446" s="17"/>
      <c r="K446" s="17"/>
      <c r="N446" s="10"/>
      <c r="O446" s="45"/>
    </row>
    <row r="447" spans="5:15" x14ac:dyDescent="0.2">
      <c r="E447" s="10"/>
      <c r="F447" s="53"/>
      <c r="G447" s="9"/>
      <c r="J447" s="17"/>
      <c r="K447" s="17"/>
      <c r="N447" s="10"/>
      <c r="O447" s="45"/>
    </row>
    <row r="448" spans="5:15" x14ac:dyDescent="0.2">
      <c r="E448" s="10"/>
      <c r="F448" s="53"/>
      <c r="G448" s="9"/>
      <c r="J448" s="17"/>
      <c r="K448" s="17"/>
      <c r="N448" s="10"/>
      <c r="O448" s="45"/>
    </row>
    <row r="449" spans="5:15" x14ac:dyDescent="0.2">
      <c r="E449" s="10"/>
      <c r="F449" s="53"/>
      <c r="G449" s="9"/>
      <c r="J449" s="17"/>
      <c r="K449" s="17"/>
      <c r="N449" s="10"/>
      <c r="O449" s="45"/>
    </row>
    <row r="450" spans="5:15" x14ac:dyDescent="0.2">
      <c r="E450" s="10"/>
      <c r="F450" s="53"/>
      <c r="G450" s="9"/>
      <c r="J450" s="17"/>
      <c r="K450" s="17"/>
      <c r="N450" s="10"/>
      <c r="O450" s="45"/>
    </row>
    <row r="451" spans="5:15" x14ac:dyDescent="0.2">
      <c r="E451" s="10"/>
      <c r="F451" s="53"/>
      <c r="G451" s="9"/>
      <c r="J451" s="17"/>
      <c r="K451" s="17"/>
      <c r="N451" s="10"/>
      <c r="O451" s="45"/>
    </row>
    <row r="452" spans="5:15" x14ac:dyDescent="0.2">
      <c r="E452" s="10"/>
      <c r="F452" s="53"/>
      <c r="G452" s="9"/>
      <c r="J452" s="17"/>
      <c r="K452" s="17"/>
      <c r="N452" s="10"/>
      <c r="O452" s="45"/>
    </row>
    <row r="453" spans="5:15" x14ac:dyDescent="0.2">
      <c r="E453" s="10"/>
      <c r="F453" s="53"/>
      <c r="G453" s="9"/>
      <c r="J453" s="17"/>
      <c r="K453" s="17"/>
      <c r="N453" s="10"/>
      <c r="O453" s="45"/>
    </row>
    <row r="454" spans="5:15" x14ac:dyDescent="0.2">
      <c r="E454" s="10"/>
      <c r="F454" s="53"/>
      <c r="G454" s="9"/>
      <c r="J454" s="17"/>
      <c r="K454" s="17"/>
      <c r="N454" s="10"/>
      <c r="O454" s="45"/>
    </row>
    <row r="455" spans="5:15" x14ac:dyDescent="0.2">
      <c r="E455" s="10"/>
      <c r="F455" s="53"/>
      <c r="G455" s="9"/>
      <c r="J455" s="17"/>
      <c r="K455" s="17"/>
      <c r="N455" s="10"/>
      <c r="O455" s="45"/>
    </row>
    <row r="456" spans="5:15" x14ac:dyDescent="0.2">
      <c r="E456" s="10"/>
      <c r="F456" s="53"/>
      <c r="G456" s="9"/>
      <c r="J456" s="17"/>
      <c r="K456" s="17"/>
      <c r="N456" s="10"/>
      <c r="O456" s="45"/>
    </row>
    <row r="457" spans="5:15" x14ac:dyDescent="0.2">
      <c r="E457" s="10"/>
      <c r="F457" s="53"/>
      <c r="G457" s="9"/>
      <c r="J457" s="17"/>
      <c r="K457" s="17"/>
      <c r="N457" s="10"/>
      <c r="O457" s="45"/>
    </row>
    <row r="458" spans="5:15" x14ac:dyDescent="0.2">
      <c r="E458" s="10"/>
      <c r="F458" s="53"/>
      <c r="G458" s="9"/>
      <c r="J458" s="17"/>
      <c r="K458" s="17"/>
      <c r="N458" s="10"/>
      <c r="O458" s="45"/>
    </row>
    <row r="459" spans="5:15" x14ac:dyDescent="0.2">
      <c r="E459" s="10"/>
      <c r="F459" s="53"/>
      <c r="G459" s="9"/>
      <c r="J459" s="17"/>
      <c r="K459" s="17"/>
      <c r="N459" s="10"/>
      <c r="O459" s="45"/>
    </row>
    <row r="460" spans="5:15" x14ac:dyDescent="0.2">
      <c r="E460" s="10"/>
      <c r="F460" s="53"/>
      <c r="G460" s="9"/>
      <c r="J460" s="17"/>
      <c r="K460" s="17"/>
      <c r="N460" s="10"/>
      <c r="O460" s="45"/>
    </row>
    <row r="461" spans="5:15" x14ac:dyDescent="0.2">
      <c r="E461" s="10"/>
      <c r="F461" s="53"/>
      <c r="G461" s="9"/>
      <c r="J461" s="17"/>
      <c r="K461" s="17"/>
      <c r="N461" s="10"/>
      <c r="O461" s="45"/>
    </row>
    <row r="462" spans="5:15" x14ac:dyDescent="0.2">
      <c r="E462" s="10"/>
      <c r="F462" s="53"/>
      <c r="G462" s="9"/>
      <c r="J462" s="17"/>
      <c r="K462" s="17"/>
      <c r="N462" s="10"/>
      <c r="O462" s="45"/>
    </row>
    <row r="463" spans="5:15" x14ac:dyDescent="0.2">
      <c r="E463" s="10"/>
      <c r="F463" s="53"/>
      <c r="G463" s="9"/>
      <c r="J463" s="17"/>
      <c r="K463" s="17"/>
      <c r="N463" s="10"/>
      <c r="O463" s="45"/>
    </row>
    <row r="464" spans="5:15" x14ac:dyDescent="0.2">
      <c r="E464" s="10"/>
      <c r="F464" s="53"/>
      <c r="G464" s="9"/>
      <c r="J464" s="17"/>
      <c r="K464" s="17"/>
      <c r="N464" s="10"/>
      <c r="O464" s="45"/>
    </row>
    <row r="465" spans="5:15" x14ac:dyDescent="0.2">
      <c r="E465" s="10"/>
      <c r="F465" s="53"/>
      <c r="G465" s="9"/>
      <c r="J465" s="17"/>
      <c r="K465" s="17"/>
      <c r="N465" s="10"/>
      <c r="O465" s="45"/>
    </row>
    <row r="466" spans="5:15" x14ac:dyDescent="0.2">
      <c r="E466" s="10"/>
      <c r="F466" s="53"/>
      <c r="G466" s="9"/>
      <c r="J466" s="17"/>
      <c r="K466" s="17"/>
      <c r="N466" s="10"/>
      <c r="O466" s="45"/>
    </row>
    <row r="467" spans="5:15" x14ac:dyDescent="0.2">
      <c r="E467" s="10"/>
      <c r="F467" s="53"/>
      <c r="G467" s="9"/>
      <c r="J467" s="17"/>
      <c r="K467" s="17"/>
      <c r="N467" s="10"/>
      <c r="O467" s="45"/>
    </row>
    <row r="468" spans="5:15" x14ac:dyDescent="0.2">
      <c r="E468" s="10"/>
      <c r="F468" s="53"/>
      <c r="G468" s="9"/>
      <c r="J468" s="17"/>
      <c r="K468" s="17"/>
      <c r="N468" s="10"/>
      <c r="O468" s="45"/>
    </row>
    <row r="469" spans="5:15" x14ac:dyDescent="0.2">
      <c r="E469" s="10"/>
      <c r="F469" s="53"/>
      <c r="G469" s="9"/>
      <c r="J469" s="17"/>
      <c r="K469" s="17"/>
      <c r="N469" s="10"/>
      <c r="O469" s="45"/>
    </row>
    <row r="470" spans="5:15" x14ac:dyDescent="0.2">
      <c r="E470" s="10"/>
      <c r="F470" s="53"/>
      <c r="G470" s="9"/>
      <c r="J470" s="17"/>
      <c r="K470" s="17"/>
      <c r="N470" s="10"/>
      <c r="O470" s="45"/>
    </row>
    <row r="471" spans="5:15" x14ac:dyDescent="0.2">
      <c r="E471" s="10"/>
      <c r="F471" s="53"/>
      <c r="G471" s="9"/>
      <c r="J471" s="17"/>
      <c r="K471" s="17"/>
      <c r="N471" s="10"/>
      <c r="O471" s="45"/>
    </row>
    <row r="472" spans="5:15" x14ac:dyDescent="0.2">
      <c r="E472" s="10"/>
      <c r="F472" s="53"/>
      <c r="G472" s="9"/>
      <c r="J472" s="17"/>
      <c r="K472" s="17"/>
      <c r="N472" s="10"/>
      <c r="O472" s="45"/>
    </row>
    <row r="473" spans="5:15" x14ac:dyDescent="0.2">
      <c r="E473" s="10"/>
      <c r="F473" s="53"/>
      <c r="G473" s="9"/>
      <c r="J473" s="17"/>
      <c r="K473" s="17"/>
      <c r="N473" s="10"/>
      <c r="O473" s="45"/>
    </row>
    <row r="474" spans="5:15" x14ac:dyDescent="0.2">
      <c r="E474" s="10"/>
      <c r="F474" s="53"/>
      <c r="G474" s="9"/>
      <c r="J474" s="17"/>
      <c r="K474" s="17"/>
      <c r="N474" s="10"/>
      <c r="O474" s="45"/>
    </row>
    <row r="475" spans="5:15" x14ac:dyDescent="0.2">
      <c r="E475" s="10"/>
      <c r="F475" s="53"/>
      <c r="G475" s="9"/>
      <c r="J475" s="17"/>
      <c r="K475" s="17"/>
      <c r="N475" s="10"/>
      <c r="O475" s="45"/>
    </row>
    <row r="476" spans="5:15" x14ac:dyDescent="0.2">
      <c r="E476" s="10"/>
      <c r="F476" s="53"/>
      <c r="G476" s="9"/>
      <c r="J476" s="17"/>
      <c r="K476" s="17"/>
      <c r="N476" s="10"/>
      <c r="O476" s="45"/>
    </row>
    <row r="477" spans="5:15" x14ac:dyDescent="0.2">
      <c r="E477" s="10"/>
      <c r="F477" s="53"/>
      <c r="G477" s="9"/>
      <c r="J477" s="17"/>
      <c r="K477" s="17"/>
      <c r="N477" s="10"/>
      <c r="O477" s="45"/>
    </row>
    <row r="478" spans="5:15" x14ac:dyDescent="0.2">
      <c r="E478" s="10"/>
      <c r="F478" s="53"/>
      <c r="G478" s="9"/>
      <c r="J478" s="17"/>
      <c r="K478" s="17"/>
      <c r="N478" s="10"/>
      <c r="O478" s="45"/>
    </row>
    <row r="479" spans="5:15" x14ac:dyDescent="0.2">
      <c r="E479" s="10"/>
      <c r="F479" s="53"/>
      <c r="G479" s="9"/>
      <c r="J479" s="17"/>
      <c r="K479" s="17"/>
      <c r="N479" s="10"/>
      <c r="O479" s="45"/>
    </row>
    <row r="480" spans="5:15" x14ac:dyDescent="0.2">
      <c r="E480" s="10"/>
      <c r="F480" s="53"/>
      <c r="G480" s="9"/>
      <c r="J480" s="17"/>
      <c r="K480" s="17"/>
      <c r="N480" s="10"/>
      <c r="O480" s="45"/>
    </row>
    <row r="481" spans="5:15" x14ac:dyDescent="0.2">
      <c r="E481" s="10"/>
      <c r="F481" s="53"/>
      <c r="G481" s="9"/>
      <c r="J481" s="17"/>
      <c r="K481" s="17"/>
      <c r="N481" s="10"/>
      <c r="O481" s="45"/>
    </row>
    <row r="482" spans="5:15" x14ac:dyDescent="0.2">
      <c r="E482" s="10"/>
      <c r="F482" s="53"/>
      <c r="G482" s="9"/>
      <c r="J482" s="17"/>
      <c r="K482" s="17"/>
      <c r="N482" s="10"/>
      <c r="O482" s="45"/>
    </row>
    <row r="483" spans="5:15" x14ac:dyDescent="0.2">
      <c r="E483" s="10"/>
      <c r="F483" s="53"/>
      <c r="G483" s="9"/>
      <c r="J483" s="17"/>
      <c r="K483" s="17"/>
      <c r="N483" s="10"/>
      <c r="O483" s="45"/>
    </row>
    <row r="484" spans="5:15" x14ac:dyDescent="0.2">
      <c r="E484" s="10"/>
      <c r="F484" s="53"/>
      <c r="G484" s="9"/>
      <c r="J484" s="17"/>
      <c r="K484" s="17"/>
      <c r="N484" s="10"/>
      <c r="O484" s="45"/>
    </row>
    <row r="485" spans="5:15" x14ac:dyDescent="0.2">
      <c r="E485" s="10"/>
      <c r="F485" s="53"/>
      <c r="G485" s="9"/>
      <c r="J485" s="17"/>
      <c r="K485" s="17"/>
      <c r="N485" s="10"/>
      <c r="O485" s="45"/>
    </row>
    <row r="486" spans="5:15" x14ac:dyDescent="0.2">
      <c r="E486" s="10"/>
      <c r="F486" s="53"/>
      <c r="G486" s="9"/>
      <c r="J486" s="17"/>
      <c r="K486" s="17"/>
      <c r="N486" s="10"/>
      <c r="O486" s="45"/>
    </row>
    <row r="487" spans="5:15" x14ac:dyDescent="0.2">
      <c r="E487" s="10"/>
      <c r="F487" s="53"/>
      <c r="G487" s="9"/>
      <c r="J487" s="17"/>
      <c r="K487" s="17"/>
      <c r="N487" s="10"/>
      <c r="O487" s="45"/>
    </row>
    <row r="488" spans="5:15" x14ac:dyDescent="0.2">
      <c r="E488" s="10"/>
      <c r="F488" s="53"/>
      <c r="G488" s="9"/>
      <c r="J488" s="17"/>
      <c r="K488" s="17"/>
      <c r="N488" s="10"/>
      <c r="O488" s="45"/>
    </row>
    <row r="489" spans="5:15" x14ac:dyDescent="0.2">
      <c r="E489" s="10"/>
      <c r="F489" s="53"/>
      <c r="G489" s="9"/>
      <c r="J489" s="17"/>
      <c r="K489" s="17"/>
      <c r="N489" s="10"/>
      <c r="O489" s="45"/>
    </row>
    <row r="490" spans="5:15" x14ac:dyDescent="0.2">
      <c r="E490" s="10"/>
      <c r="F490" s="53"/>
      <c r="G490" s="9"/>
      <c r="J490" s="17"/>
      <c r="K490" s="17"/>
      <c r="N490" s="10"/>
      <c r="O490" s="45"/>
    </row>
    <row r="491" spans="5:15" x14ac:dyDescent="0.2">
      <c r="E491" s="10"/>
      <c r="F491" s="53"/>
      <c r="G491" s="9"/>
      <c r="J491" s="17"/>
      <c r="K491" s="17"/>
      <c r="N491" s="10"/>
      <c r="O491" s="45"/>
    </row>
    <row r="492" spans="5:15" x14ac:dyDescent="0.2">
      <c r="E492" s="10"/>
      <c r="F492" s="53"/>
      <c r="G492" s="9"/>
      <c r="J492" s="17"/>
      <c r="K492" s="17"/>
      <c r="N492" s="10"/>
      <c r="O492" s="45"/>
    </row>
    <row r="493" spans="5:15" x14ac:dyDescent="0.2">
      <c r="E493" s="10"/>
      <c r="F493" s="53"/>
      <c r="G493" s="9"/>
      <c r="J493" s="17"/>
      <c r="K493" s="17"/>
      <c r="N493" s="10"/>
      <c r="O493" s="45"/>
    </row>
    <row r="494" spans="5:15" x14ac:dyDescent="0.2">
      <c r="E494" s="10"/>
      <c r="F494" s="53"/>
      <c r="G494" s="9"/>
      <c r="J494" s="17"/>
      <c r="K494" s="17"/>
      <c r="N494" s="10"/>
      <c r="O494" s="45"/>
    </row>
    <row r="495" spans="5:15" x14ac:dyDescent="0.2">
      <c r="E495" s="10"/>
      <c r="F495" s="53"/>
      <c r="G495" s="9"/>
      <c r="J495" s="17"/>
      <c r="K495" s="17"/>
      <c r="N495" s="10"/>
      <c r="O495" s="45"/>
    </row>
    <row r="496" spans="5:15" x14ac:dyDescent="0.2">
      <c r="E496" s="10"/>
      <c r="F496" s="53"/>
      <c r="G496" s="9"/>
      <c r="J496" s="17"/>
      <c r="K496" s="17"/>
      <c r="N496" s="10"/>
      <c r="O496" s="45"/>
    </row>
    <row r="497" spans="5:15" x14ac:dyDescent="0.2">
      <c r="E497" s="10"/>
      <c r="F497" s="53"/>
      <c r="G497" s="9"/>
      <c r="J497" s="17"/>
      <c r="K497" s="17"/>
      <c r="N497" s="10"/>
      <c r="O497" s="45"/>
    </row>
    <row r="498" spans="5:15" x14ac:dyDescent="0.2">
      <c r="E498" s="10"/>
      <c r="F498" s="53"/>
      <c r="G498" s="9"/>
      <c r="J498" s="17"/>
      <c r="K498" s="17"/>
      <c r="N498" s="10"/>
      <c r="O498" s="45"/>
    </row>
    <row r="499" spans="5:15" x14ac:dyDescent="0.2">
      <c r="E499" s="10"/>
      <c r="F499" s="53"/>
      <c r="G499" s="9"/>
      <c r="J499" s="17"/>
      <c r="K499" s="17"/>
      <c r="N499" s="10"/>
      <c r="O499" s="45"/>
    </row>
    <row r="500" spans="5:15" x14ac:dyDescent="0.2">
      <c r="E500" s="10"/>
      <c r="F500" s="53"/>
      <c r="G500" s="9"/>
      <c r="J500" s="17"/>
      <c r="K500" s="17"/>
      <c r="N500" s="10"/>
      <c r="O500" s="45"/>
    </row>
    <row r="501" spans="5:15" x14ac:dyDescent="0.2">
      <c r="E501" s="10"/>
      <c r="F501" s="53"/>
      <c r="G501" s="9"/>
      <c r="J501" s="17"/>
      <c r="K501" s="17"/>
      <c r="N501" s="10"/>
      <c r="O501" s="45"/>
    </row>
    <row r="502" spans="5:15" x14ac:dyDescent="0.2">
      <c r="E502" s="10"/>
      <c r="F502" s="53"/>
      <c r="G502" s="9"/>
      <c r="J502" s="17"/>
      <c r="K502" s="17"/>
      <c r="N502" s="10"/>
      <c r="O502" s="45"/>
    </row>
    <row r="503" spans="5:15" x14ac:dyDescent="0.2">
      <c r="E503" s="10"/>
      <c r="F503" s="53"/>
      <c r="G503" s="9"/>
      <c r="J503" s="17"/>
      <c r="K503" s="17"/>
      <c r="N503" s="10"/>
      <c r="O503" s="45"/>
    </row>
    <row r="504" spans="5:15" x14ac:dyDescent="0.2">
      <c r="E504" s="10"/>
      <c r="F504" s="53"/>
      <c r="G504" s="9"/>
      <c r="J504" s="17"/>
      <c r="K504" s="17"/>
      <c r="N504" s="10"/>
      <c r="O504" s="45"/>
    </row>
    <row r="505" spans="5:15" x14ac:dyDescent="0.2">
      <c r="E505" s="10"/>
      <c r="F505" s="53"/>
      <c r="G505" s="9"/>
      <c r="J505" s="17"/>
      <c r="K505" s="17"/>
      <c r="N505" s="10"/>
      <c r="O505" s="45"/>
    </row>
    <row r="506" spans="5:15" x14ac:dyDescent="0.2">
      <c r="E506" s="10"/>
      <c r="F506" s="53"/>
      <c r="G506" s="9"/>
      <c r="J506" s="17"/>
      <c r="K506" s="17"/>
      <c r="N506" s="10"/>
      <c r="O506" s="45"/>
    </row>
    <row r="507" spans="5:15" x14ac:dyDescent="0.2">
      <c r="E507" s="10"/>
      <c r="F507" s="53"/>
      <c r="G507" s="9"/>
      <c r="J507" s="17"/>
      <c r="K507" s="17"/>
      <c r="N507" s="10"/>
      <c r="O507" s="45"/>
    </row>
    <row r="508" spans="5:15" x14ac:dyDescent="0.2">
      <c r="E508" s="10"/>
      <c r="F508" s="53"/>
      <c r="G508" s="9"/>
      <c r="J508" s="17"/>
      <c r="K508" s="17"/>
      <c r="N508" s="10"/>
      <c r="O508" s="45"/>
    </row>
    <row r="509" spans="5:15" x14ac:dyDescent="0.2">
      <c r="E509" s="10"/>
      <c r="F509" s="53"/>
      <c r="G509" s="9"/>
      <c r="J509" s="17"/>
      <c r="K509" s="17"/>
      <c r="N509" s="10"/>
      <c r="O509" s="45"/>
    </row>
    <row r="510" spans="5:15" x14ac:dyDescent="0.2">
      <c r="E510" s="10"/>
      <c r="F510" s="53"/>
      <c r="G510" s="9"/>
      <c r="J510" s="17"/>
      <c r="K510" s="17"/>
      <c r="N510" s="10"/>
      <c r="O510" s="45"/>
    </row>
    <row r="511" spans="5:15" x14ac:dyDescent="0.2">
      <c r="E511" s="10"/>
      <c r="F511" s="53"/>
      <c r="G511" s="9"/>
      <c r="J511" s="17"/>
      <c r="K511" s="17"/>
      <c r="N511" s="10"/>
      <c r="O511" s="45"/>
    </row>
    <row r="512" spans="5:15" x14ac:dyDescent="0.2">
      <c r="E512" s="10"/>
      <c r="F512" s="53"/>
      <c r="G512" s="9"/>
      <c r="J512" s="17"/>
      <c r="K512" s="17"/>
      <c r="N512" s="10"/>
      <c r="O512" s="45"/>
    </row>
    <row r="513" spans="5:15" x14ac:dyDescent="0.2">
      <c r="E513" s="10"/>
      <c r="F513" s="53"/>
      <c r="G513" s="9"/>
      <c r="J513" s="17"/>
      <c r="K513" s="17"/>
      <c r="N513" s="10"/>
      <c r="O513" s="45"/>
    </row>
    <row r="514" spans="5:15" x14ac:dyDescent="0.2">
      <c r="E514" s="10"/>
      <c r="F514" s="53"/>
      <c r="G514" s="9"/>
      <c r="J514" s="17"/>
      <c r="K514" s="17"/>
      <c r="N514" s="10"/>
      <c r="O514" s="45"/>
    </row>
    <row r="515" spans="5:15" x14ac:dyDescent="0.2">
      <c r="E515" s="10"/>
      <c r="F515" s="53"/>
      <c r="G515" s="9"/>
      <c r="J515" s="17"/>
      <c r="K515" s="17"/>
      <c r="N515" s="10"/>
      <c r="O515" s="45"/>
    </row>
    <row r="516" spans="5:15" x14ac:dyDescent="0.2">
      <c r="E516" s="10"/>
      <c r="F516" s="53"/>
      <c r="G516" s="9"/>
      <c r="J516" s="17"/>
      <c r="K516" s="17"/>
      <c r="N516" s="10"/>
      <c r="O516" s="45"/>
    </row>
    <row r="517" spans="5:15" x14ac:dyDescent="0.2">
      <c r="E517" s="10"/>
      <c r="F517" s="53"/>
      <c r="G517" s="9"/>
      <c r="J517" s="17"/>
      <c r="K517" s="17"/>
      <c r="N517" s="10"/>
      <c r="O517" s="45"/>
    </row>
    <row r="518" spans="5:15" x14ac:dyDescent="0.2">
      <c r="E518" s="10"/>
      <c r="F518" s="53"/>
      <c r="G518" s="9"/>
      <c r="J518" s="17"/>
      <c r="K518" s="17"/>
      <c r="N518" s="10"/>
      <c r="O518" s="45"/>
    </row>
    <row r="519" spans="5:15" x14ac:dyDescent="0.2">
      <c r="E519" s="10"/>
      <c r="F519" s="53"/>
      <c r="G519" s="9"/>
      <c r="J519" s="17"/>
      <c r="K519" s="17"/>
      <c r="N519" s="10"/>
      <c r="O519" s="45"/>
    </row>
    <row r="520" spans="5:15" x14ac:dyDescent="0.2">
      <c r="E520" s="10"/>
      <c r="F520" s="53"/>
      <c r="G520" s="9"/>
      <c r="J520" s="17"/>
      <c r="K520" s="17"/>
      <c r="N520" s="10"/>
      <c r="O520" s="45"/>
    </row>
    <row r="521" spans="5:15" x14ac:dyDescent="0.2">
      <c r="E521" s="10"/>
      <c r="F521" s="53"/>
      <c r="G521" s="9"/>
      <c r="J521" s="17"/>
      <c r="K521" s="17"/>
      <c r="N521" s="10"/>
      <c r="O521" s="45"/>
    </row>
    <row r="522" spans="5:15" x14ac:dyDescent="0.2">
      <c r="E522" s="10"/>
      <c r="F522" s="53"/>
      <c r="G522" s="9"/>
      <c r="J522" s="17"/>
      <c r="K522" s="17"/>
      <c r="N522" s="10"/>
      <c r="O522" s="45"/>
    </row>
    <row r="523" spans="5:15" x14ac:dyDescent="0.2">
      <c r="E523" s="10"/>
      <c r="F523" s="53"/>
      <c r="G523" s="9"/>
      <c r="J523" s="17"/>
      <c r="K523" s="17"/>
      <c r="N523" s="10"/>
      <c r="O523" s="45"/>
    </row>
    <row r="524" spans="5:15" x14ac:dyDescent="0.2">
      <c r="E524" s="10"/>
      <c r="F524" s="53"/>
      <c r="G524" s="9"/>
      <c r="J524" s="17"/>
      <c r="K524" s="17"/>
      <c r="N524" s="10"/>
      <c r="O524" s="45"/>
    </row>
    <row r="525" spans="5:15" x14ac:dyDescent="0.2">
      <c r="E525" s="10"/>
      <c r="F525" s="53"/>
      <c r="G525" s="9"/>
      <c r="J525" s="17"/>
      <c r="K525" s="17"/>
      <c r="N525" s="10"/>
      <c r="O525" s="45"/>
    </row>
    <row r="526" spans="5:15" x14ac:dyDescent="0.2">
      <c r="E526" s="10"/>
      <c r="F526" s="53"/>
      <c r="G526" s="9"/>
      <c r="J526" s="17"/>
      <c r="K526" s="17"/>
      <c r="N526" s="10"/>
      <c r="O526" s="45"/>
    </row>
    <row r="527" spans="5:15" x14ac:dyDescent="0.2">
      <c r="E527" s="10"/>
      <c r="F527" s="53"/>
      <c r="G527" s="9"/>
      <c r="J527" s="17"/>
      <c r="K527" s="17"/>
      <c r="N527" s="10"/>
      <c r="O527" s="45"/>
    </row>
    <row r="528" spans="5:15" x14ac:dyDescent="0.2">
      <c r="E528" s="10"/>
      <c r="F528" s="53"/>
      <c r="G528" s="9"/>
      <c r="J528" s="17"/>
      <c r="K528" s="17"/>
      <c r="N528" s="10"/>
      <c r="O528" s="45"/>
    </row>
    <row r="529" spans="5:15" x14ac:dyDescent="0.2">
      <c r="E529" s="10"/>
      <c r="F529" s="53"/>
      <c r="G529" s="9"/>
      <c r="J529" s="17"/>
      <c r="K529" s="17"/>
      <c r="N529" s="10"/>
      <c r="O529" s="45"/>
    </row>
    <row r="530" spans="5:15" x14ac:dyDescent="0.2">
      <c r="E530" s="10"/>
      <c r="F530" s="53"/>
      <c r="G530" s="9"/>
      <c r="J530" s="17"/>
      <c r="K530" s="17"/>
      <c r="N530" s="10"/>
      <c r="O530" s="45"/>
    </row>
    <row r="531" spans="5:15" x14ac:dyDescent="0.2">
      <c r="E531" s="10"/>
      <c r="F531" s="53"/>
      <c r="G531" s="9"/>
      <c r="J531" s="17"/>
      <c r="K531" s="17"/>
      <c r="N531" s="10"/>
      <c r="O531" s="45"/>
    </row>
    <row r="532" spans="5:15" x14ac:dyDescent="0.2">
      <c r="E532" s="10"/>
      <c r="F532" s="53"/>
      <c r="G532" s="9"/>
      <c r="J532" s="17"/>
      <c r="K532" s="17"/>
      <c r="N532" s="10"/>
      <c r="O532" s="45"/>
    </row>
    <row r="533" spans="5:15" x14ac:dyDescent="0.2">
      <c r="E533" s="10"/>
      <c r="F533" s="53"/>
      <c r="G533" s="9"/>
      <c r="J533" s="17"/>
      <c r="K533" s="17"/>
      <c r="N533" s="10"/>
      <c r="O533" s="45"/>
    </row>
    <row r="534" spans="5:15" x14ac:dyDescent="0.2">
      <c r="E534" s="10"/>
      <c r="F534" s="53"/>
      <c r="G534" s="9"/>
      <c r="J534" s="17"/>
      <c r="K534" s="17"/>
      <c r="N534" s="10"/>
      <c r="O534" s="45"/>
    </row>
    <row r="535" spans="5:15" x14ac:dyDescent="0.2">
      <c r="E535" s="10"/>
      <c r="F535" s="53"/>
      <c r="G535" s="9"/>
      <c r="J535" s="17"/>
      <c r="K535" s="17"/>
      <c r="N535" s="10"/>
      <c r="O535" s="45"/>
    </row>
    <row r="536" spans="5:15" x14ac:dyDescent="0.2">
      <c r="E536" s="10"/>
      <c r="F536" s="53"/>
      <c r="G536" s="9"/>
      <c r="J536" s="17"/>
      <c r="K536" s="17"/>
      <c r="N536" s="10"/>
      <c r="O536" s="45"/>
    </row>
    <row r="537" spans="5:15" x14ac:dyDescent="0.2">
      <c r="E537" s="10"/>
      <c r="F537" s="53"/>
      <c r="G537" s="9"/>
      <c r="J537" s="17"/>
      <c r="K537" s="17"/>
      <c r="N537" s="10"/>
      <c r="O537" s="45"/>
    </row>
    <row r="538" spans="5:15" x14ac:dyDescent="0.2">
      <c r="E538" s="10"/>
      <c r="F538" s="53"/>
      <c r="G538" s="9"/>
      <c r="J538" s="17"/>
      <c r="K538" s="17"/>
      <c r="N538" s="10"/>
      <c r="O538" s="45"/>
    </row>
    <row r="539" spans="5:15" x14ac:dyDescent="0.2">
      <c r="E539" s="10"/>
      <c r="F539" s="53"/>
      <c r="G539" s="9"/>
      <c r="J539" s="17"/>
      <c r="K539" s="17"/>
      <c r="N539" s="10"/>
      <c r="O539" s="45"/>
    </row>
    <row r="540" spans="5:15" x14ac:dyDescent="0.2">
      <c r="E540" s="10"/>
      <c r="F540" s="53"/>
      <c r="G540" s="9"/>
      <c r="J540" s="17"/>
      <c r="K540" s="17"/>
      <c r="N540" s="10"/>
      <c r="O540" s="45"/>
    </row>
    <row r="541" spans="5:15" x14ac:dyDescent="0.2">
      <c r="E541" s="10"/>
      <c r="F541" s="53"/>
      <c r="G541" s="9"/>
      <c r="J541" s="17"/>
      <c r="K541" s="17"/>
      <c r="N541" s="10"/>
      <c r="O541" s="45"/>
    </row>
    <row r="542" spans="5:15" x14ac:dyDescent="0.2">
      <c r="E542" s="10"/>
      <c r="F542" s="53"/>
      <c r="G542" s="9"/>
      <c r="J542" s="17"/>
      <c r="K542" s="17"/>
      <c r="N542" s="10"/>
      <c r="O542" s="45"/>
    </row>
    <row r="543" spans="5:15" x14ac:dyDescent="0.2">
      <c r="E543" s="10"/>
      <c r="F543" s="53"/>
      <c r="G543" s="9"/>
      <c r="J543" s="17"/>
      <c r="K543" s="17"/>
      <c r="N543" s="10"/>
      <c r="O543" s="45"/>
    </row>
    <row r="544" spans="5:15" x14ac:dyDescent="0.2">
      <c r="E544" s="10"/>
      <c r="F544" s="53"/>
      <c r="G544" s="9"/>
      <c r="J544" s="17"/>
      <c r="K544" s="17"/>
      <c r="N544" s="10"/>
      <c r="O544" s="45"/>
    </row>
    <row r="545" spans="5:15" x14ac:dyDescent="0.2">
      <c r="E545" s="10"/>
      <c r="F545" s="53"/>
      <c r="G545" s="9"/>
      <c r="J545" s="17"/>
      <c r="K545" s="17"/>
      <c r="N545" s="10"/>
      <c r="O545" s="45"/>
    </row>
    <row r="546" spans="5:15" x14ac:dyDescent="0.2">
      <c r="E546" s="10"/>
      <c r="F546" s="53"/>
      <c r="G546" s="9"/>
      <c r="J546" s="17"/>
      <c r="K546" s="17"/>
      <c r="N546" s="10"/>
      <c r="O546" s="45"/>
    </row>
    <row r="547" spans="5:15" x14ac:dyDescent="0.2">
      <c r="E547" s="10"/>
      <c r="F547" s="53"/>
      <c r="G547" s="9"/>
      <c r="J547" s="17"/>
      <c r="K547" s="17"/>
      <c r="N547" s="10"/>
      <c r="O547" s="45"/>
    </row>
    <row r="548" spans="5:15" x14ac:dyDescent="0.2">
      <c r="E548" s="10"/>
      <c r="F548" s="53"/>
      <c r="G548" s="9"/>
      <c r="J548" s="17"/>
      <c r="K548" s="17"/>
      <c r="N548" s="10"/>
      <c r="O548" s="45"/>
    </row>
    <row r="549" spans="5:15" x14ac:dyDescent="0.2">
      <c r="E549" s="10"/>
      <c r="F549" s="53"/>
      <c r="G549" s="9"/>
      <c r="J549" s="17"/>
      <c r="K549" s="17"/>
      <c r="N549" s="10"/>
      <c r="O549" s="45"/>
    </row>
    <row r="550" spans="5:15" x14ac:dyDescent="0.2">
      <c r="E550" s="10"/>
      <c r="F550" s="53"/>
      <c r="G550" s="9"/>
      <c r="J550" s="17"/>
      <c r="K550" s="17"/>
      <c r="N550" s="10"/>
      <c r="O550" s="45"/>
    </row>
    <row r="551" spans="5:15" x14ac:dyDescent="0.2">
      <c r="E551" s="10"/>
      <c r="F551" s="53"/>
      <c r="G551" s="9"/>
      <c r="J551" s="17"/>
      <c r="K551" s="17"/>
      <c r="N551" s="10"/>
      <c r="O551" s="45"/>
    </row>
    <row r="552" spans="5:15" x14ac:dyDescent="0.2">
      <c r="E552" s="10"/>
      <c r="F552" s="53"/>
      <c r="G552" s="9"/>
      <c r="J552" s="17"/>
      <c r="K552" s="17"/>
      <c r="N552" s="10"/>
      <c r="O552" s="45"/>
    </row>
    <row r="553" spans="5:15" x14ac:dyDescent="0.2">
      <c r="E553" s="10"/>
      <c r="F553" s="53"/>
      <c r="G553" s="9"/>
      <c r="J553" s="17"/>
      <c r="K553" s="17"/>
      <c r="N553" s="10"/>
      <c r="O553" s="45"/>
    </row>
    <row r="554" spans="5:15" x14ac:dyDescent="0.2">
      <c r="E554" s="10"/>
      <c r="F554" s="53"/>
      <c r="G554" s="9"/>
      <c r="J554" s="17"/>
      <c r="K554" s="17"/>
      <c r="N554" s="10"/>
      <c r="O554" s="45"/>
    </row>
    <row r="555" spans="5:15" x14ac:dyDescent="0.2">
      <c r="E555" s="10"/>
      <c r="F555" s="53"/>
      <c r="G555" s="9"/>
      <c r="J555" s="17"/>
      <c r="K555" s="17"/>
      <c r="N555" s="10"/>
      <c r="O555" s="45"/>
    </row>
    <row r="556" spans="5:15" x14ac:dyDescent="0.2">
      <c r="E556" s="10"/>
      <c r="F556" s="53"/>
      <c r="G556" s="9"/>
      <c r="J556" s="17"/>
      <c r="K556" s="17"/>
      <c r="N556" s="10"/>
      <c r="O556" s="45"/>
    </row>
    <row r="557" spans="5:15" x14ac:dyDescent="0.2">
      <c r="E557" s="10"/>
      <c r="F557" s="53"/>
      <c r="G557" s="9"/>
      <c r="J557" s="17"/>
      <c r="K557" s="17"/>
      <c r="N557" s="10"/>
      <c r="O557" s="45"/>
    </row>
    <row r="558" spans="5:15" x14ac:dyDescent="0.2">
      <c r="E558" s="10"/>
      <c r="F558" s="53"/>
      <c r="G558" s="9"/>
      <c r="J558" s="17"/>
      <c r="K558" s="17"/>
      <c r="N558" s="10"/>
      <c r="O558" s="45"/>
    </row>
    <row r="559" spans="5:15" x14ac:dyDescent="0.2">
      <c r="E559" s="10"/>
      <c r="F559" s="53"/>
      <c r="G559" s="9"/>
      <c r="J559" s="17"/>
      <c r="K559" s="17"/>
      <c r="N559" s="10"/>
      <c r="O559" s="45"/>
    </row>
    <row r="560" spans="5:15" x14ac:dyDescent="0.2">
      <c r="E560" s="10"/>
      <c r="F560" s="53"/>
      <c r="G560" s="9"/>
      <c r="J560" s="17"/>
      <c r="K560" s="17"/>
      <c r="N560" s="10"/>
      <c r="O560" s="45"/>
    </row>
    <row r="561" spans="5:15" x14ac:dyDescent="0.2">
      <c r="E561" s="10"/>
      <c r="F561" s="53"/>
      <c r="G561" s="9"/>
      <c r="J561" s="17"/>
      <c r="K561" s="17"/>
      <c r="N561" s="10"/>
      <c r="O561" s="45"/>
    </row>
    <row r="562" spans="5:15" x14ac:dyDescent="0.2">
      <c r="E562" s="10"/>
      <c r="F562" s="53"/>
      <c r="G562" s="9"/>
      <c r="J562" s="17"/>
      <c r="K562" s="17"/>
      <c r="N562" s="10"/>
      <c r="O562" s="45"/>
    </row>
    <row r="563" spans="5:15" x14ac:dyDescent="0.2">
      <c r="E563" s="10"/>
      <c r="F563" s="53"/>
      <c r="G563" s="9"/>
      <c r="J563" s="17"/>
      <c r="K563" s="17"/>
      <c r="N563" s="10"/>
      <c r="O563" s="45"/>
    </row>
    <row r="564" spans="5:15" x14ac:dyDescent="0.2">
      <c r="E564" s="10"/>
      <c r="F564" s="53"/>
      <c r="G564" s="9"/>
      <c r="J564" s="17"/>
      <c r="K564" s="17"/>
      <c r="N564" s="10"/>
      <c r="O564" s="45"/>
    </row>
    <row r="565" spans="5:15" x14ac:dyDescent="0.2">
      <c r="E565" s="10"/>
      <c r="F565" s="53"/>
      <c r="G565" s="9"/>
      <c r="J565" s="17"/>
      <c r="K565" s="17"/>
      <c r="N565" s="10"/>
      <c r="O565" s="45"/>
    </row>
    <row r="566" spans="5:15" x14ac:dyDescent="0.2">
      <c r="E566" s="10"/>
      <c r="F566" s="53"/>
      <c r="G566" s="9"/>
      <c r="J566" s="17"/>
      <c r="K566" s="17"/>
      <c r="N566" s="10"/>
      <c r="O566" s="45"/>
    </row>
    <row r="567" spans="5:15" x14ac:dyDescent="0.2">
      <c r="E567" s="10"/>
      <c r="F567" s="53"/>
      <c r="G567" s="9"/>
      <c r="J567" s="17"/>
      <c r="K567" s="17"/>
      <c r="N567" s="10"/>
      <c r="O567" s="45"/>
    </row>
    <row r="568" spans="5:15" x14ac:dyDescent="0.2">
      <c r="E568" s="10"/>
      <c r="F568" s="53"/>
      <c r="G568" s="9"/>
      <c r="J568" s="17"/>
      <c r="K568" s="17"/>
      <c r="N568" s="10"/>
      <c r="O568" s="45"/>
    </row>
    <row r="569" spans="5:15" x14ac:dyDescent="0.2">
      <c r="E569" s="10"/>
      <c r="F569" s="53"/>
      <c r="G569" s="9"/>
      <c r="J569" s="17"/>
      <c r="K569" s="17"/>
      <c r="N569" s="10"/>
      <c r="O569" s="45"/>
    </row>
    <row r="570" spans="5:15" x14ac:dyDescent="0.2">
      <c r="E570" s="10"/>
      <c r="F570" s="53"/>
      <c r="G570" s="9"/>
      <c r="J570" s="17"/>
      <c r="K570" s="17"/>
      <c r="N570" s="10"/>
      <c r="O570" s="45"/>
    </row>
    <row r="571" spans="5:15" x14ac:dyDescent="0.2">
      <c r="E571" s="10"/>
      <c r="F571" s="53"/>
      <c r="G571" s="9"/>
      <c r="J571" s="17"/>
      <c r="K571" s="17"/>
      <c r="N571" s="10"/>
      <c r="O571" s="45"/>
    </row>
    <row r="572" spans="5:15" x14ac:dyDescent="0.2">
      <c r="E572" s="10"/>
      <c r="F572" s="53"/>
      <c r="G572" s="9"/>
      <c r="J572" s="17"/>
      <c r="K572" s="17"/>
      <c r="N572" s="10"/>
      <c r="O572" s="45"/>
    </row>
    <row r="573" spans="5:15" x14ac:dyDescent="0.2">
      <c r="E573" s="10"/>
      <c r="F573" s="53"/>
      <c r="G573" s="9"/>
      <c r="J573" s="17"/>
      <c r="K573" s="17"/>
      <c r="N573" s="10"/>
      <c r="O573" s="45"/>
    </row>
    <row r="574" spans="5:15" x14ac:dyDescent="0.2">
      <c r="E574" s="10"/>
      <c r="F574" s="53"/>
      <c r="G574" s="9"/>
      <c r="J574" s="17"/>
      <c r="K574" s="17"/>
      <c r="N574" s="10"/>
      <c r="O574" s="45"/>
    </row>
    <row r="575" spans="5:15" x14ac:dyDescent="0.2">
      <c r="E575" s="10"/>
      <c r="F575" s="53"/>
      <c r="G575" s="9"/>
      <c r="J575" s="17"/>
      <c r="K575" s="17"/>
      <c r="N575" s="10"/>
      <c r="O575" s="45"/>
    </row>
    <row r="576" spans="5:15" x14ac:dyDescent="0.2">
      <c r="E576" s="10"/>
      <c r="F576" s="53"/>
      <c r="G576" s="9"/>
      <c r="J576" s="17"/>
      <c r="K576" s="17"/>
      <c r="N576" s="10"/>
      <c r="O576" s="45"/>
    </row>
    <row r="577" spans="5:15" x14ac:dyDescent="0.2">
      <c r="E577" s="10"/>
      <c r="F577" s="53"/>
      <c r="G577" s="9"/>
      <c r="J577" s="17"/>
      <c r="K577" s="17"/>
      <c r="N577" s="10"/>
      <c r="O577" s="45"/>
    </row>
    <row r="578" spans="5:15" x14ac:dyDescent="0.2">
      <c r="E578" s="10"/>
      <c r="F578" s="53"/>
      <c r="G578" s="9"/>
      <c r="J578" s="17"/>
      <c r="K578" s="17"/>
      <c r="N578" s="10"/>
      <c r="O578" s="45"/>
    </row>
    <row r="579" spans="5:15" x14ac:dyDescent="0.2">
      <c r="E579" s="10"/>
      <c r="F579" s="53"/>
      <c r="G579" s="9"/>
      <c r="J579" s="17"/>
      <c r="K579" s="17"/>
      <c r="N579" s="10"/>
      <c r="O579" s="45"/>
    </row>
    <row r="580" spans="5:15" x14ac:dyDescent="0.2">
      <c r="E580" s="10"/>
      <c r="F580" s="53"/>
      <c r="G580" s="9"/>
      <c r="J580" s="17"/>
      <c r="K580" s="17"/>
      <c r="N580" s="10"/>
      <c r="O580" s="45"/>
    </row>
    <row r="581" spans="5:15" x14ac:dyDescent="0.2">
      <c r="E581" s="10"/>
      <c r="F581" s="53"/>
      <c r="G581" s="9"/>
      <c r="J581" s="17"/>
      <c r="K581" s="17"/>
      <c r="N581" s="10"/>
      <c r="O581" s="45"/>
    </row>
    <row r="582" spans="5:15" x14ac:dyDescent="0.2">
      <c r="E582" s="10"/>
      <c r="F582" s="53"/>
      <c r="G582" s="9"/>
      <c r="J582" s="17"/>
      <c r="K582" s="17"/>
      <c r="N582" s="10"/>
      <c r="O582" s="45"/>
    </row>
    <row r="583" spans="5:15" x14ac:dyDescent="0.2">
      <c r="E583" s="10"/>
      <c r="F583" s="53"/>
      <c r="G583" s="9"/>
      <c r="J583" s="17"/>
      <c r="K583" s="17"/>
      <c r="N583" s="10"/>
      <c r="O583" s="45"/>
    </row>
    <row r="584" spans="5:15" x14ac:dyDescent="0.2">
      <c r="E584" s="10"/>
      <c r="F584" s="53"/>
      <c r="G584" s="9"/>
      <c r="J584" s="17"/>
      <c r="K584" s="17"/>
      <c r="N584" s="10"/>
      <c r="O584" s="45"/>
    </row>
    <row r="585" spans="5:15" x14ac:dyDescent="0.2">
      <c r="E585" s="10"/>
      <c r="F585" s="53"/>
      <c r="G585" s="9"/>
      <c r="J585" s="17"/>
      <c r="K585" s="17"/>
      <c r="N585" s="10"/>
      <c r="O585" s="45"/>
    </row>
    <row r="586" spans="5:15" x14ac:dyDescent="0.2">
      <c r="E586" s="10"/>
      <c r="F586" s="53"/>
      <c r="G586" s="9"/>
      <c r="J586" s="17"/>
      <c r="K586" s="17"/>
      <c r="N586" s="10"/>
      <c r="O586" s="45"/>
    </row>
    <row r="587" spans="5:15" x14ac:dyDescent="0.2">
      <c r="E587" s="10"/>
      <c r="F587" s="53"/>
      <c r="G587" s="9"/>
      <c r="J587" s="17"/>
      <c r="K587" s="17"/>
      <c r="N587" s="10"/>
      <c r="O587" s="45"/>
    </row>
    <row r="588" spans="5:15" x14ac:dyDescent="0.2">
      <c r="E588" s="10"/>
      <c r="F588" s="53"/>
      <c r="G588" s="9"/>
      <c r="J588" s="17"/>
      <c r="K588" s="17"/>
      <c r="N588" s="10"/>
      <c r="O588" s="45"/>
    </row>
    <row r="589" spans="5:15" x14ac:dyDescent="0.2">
      <c r="E589" s="10"/>
      <c r="F589" s="53"/>
      <c r="G589" s="9"/>
      <c r="J589" s="17"/>
      <c r="K589" s="17"/>
      <c r="N589" s="10"/>
      <c r="O589" s="45"/>
    </row>
    <row r="590" spans="5:15" x14ac:dyDescent="0.2">
      <c r="E590" s="10"/>
      <c r="F590" s="53"/>
      <c r="G590" s="9"/>
      <c r="J590" s="17"/>
      <c r="K590" s="17"/>
      <c r="N590" s="10"/>
      <c r="O590" s="45"/>
    </row>
    <row r="591" spans="5:15" x14ac:dyDescent="0.2">
      <c r="E591" s="10"/>
      <c r="F591" s="53"/>
      <c r="G591" s="9"/>
      <c r="J591" s="17"/>
      <c r="K591" s="17"/>
      <c r="N591" s="10"/>
      <c r="O591" s="45"/>
    </row>
    <row r="592" spans="5:15" x14ac:dyDescent="0.2">
      <c r="E592" s="10"/>
      <c r="F592" s="53"/>
      <c r="G592" s="9"/>
      <c r="J592" s="17"/>
      <c r="K592" s="17"/>
      <c r="N592" s="10"/>
      <c r="O592" s="45"/>
    </row>
    <row r="593" spans="5:15" x14ac:dyDescent="0.2">
      <c r="E593" s="10"/>
      <c r="F593" s="53"/>
      <c r="G593" s="9"/>
      <c r="J593" s="17"/>
      <c r="K593" s="17"/>
      <c r="N593" s="10"/>
      <c r="O593" s="45"/>
    </row>
    <row r="594" spans="5:15" x14ac:dyDescent="0.2">
      <c r="E594" s="10"/>
      <c r="F594" s="53"/>
      <c r="G594" s="9"/>
      <c r="J594" s="17"/>
      <c r="K594" s="17"/>
      <c r="N594" s="10"/>
      <c r="O594" s="45"/>
    </row>
    <row r="595" spans="5:15" x14ac:dyDescent="0.2">
      <c r="E595" s="10"/>
      <c r="F595" s="53"/>
      <c r="G595" s="9"/>
      <c r="J595" s="17"/>
      <c r="K595" s="17"/>
      <c r="N595" s="10"/>
      <c r="O595" s="45"/>
    </row>
    <row r="596" spans="5:15" x14ac:dyDescent="0.2">
      <c r="E596" s="10"/>
      <c r="F596" s="53"/>
      <c r="G596" s="9"/>
      <c r="J596" s="17"/>
      <c r="K596" s="17"/>
      <c r="N596" s="10"/>
      <c r="O596" s="45"/>
    </row>
    <row r="597" spans="5:15" x14ac:dyDescent="0.2">
      <c r="E597" s="10"/>
      <c r="F597" s="53"/>
      <c r="G597" s="9"/>
      <c r="J597" s="17"/>
      <c r="K597" s="17"/>
      <c r="N597" s="10"/>
      <c r="O597" s="45"/>
    </row>
    <row r="598" spans="5:15" x14ac:dyDescent="0.2">
      <c r="E598" s="10"/>
      <c r="F598" s="53"/>
      <c r="G598" s="9"/>
      <c r="J598" s="17"/>
      <c r="K598" s="17"/>
      <c r="N598" s="10"/>
      <c r="O598" s="45"/>
    </row>
    <row r="599" spans="5:15" x14ac:dyDescent="0.2">
      <c r="E599" s="10"/>
      <c r="F599" s="53"/>
      <c r="G599" s="9"/>
      <c r="J599" s="17"/>
      <c r="K599" s="17"/>
      <c r="N599" s="10"/>
      <c r="O599" s="45"/>
    </row>
    <row r="600" spans="5:15" x14ac:dyDescent="0.2">
      <c r="E600" s="10"/>
      <c r="F600" s="53"/>
      <c r="G600" s="9"/>
      <c r="J600" s="17"/>
      <c r="K600" s="17"/>
      <c r="N600" s="10"/>
      <c r="O600" s="45"/>
    </row>
    <row r="601" spans="5:15" x14ac:dyDescent="0.2">
      <c r="E601" s="10"/>
      <c r="F601" s="53"/>
      <c r="G601" s="9"/>
      <c r="J601" s="17"/>
      <c r="K601" s="17"/>
      <c r="N601" s="10"/>
      <c r="O601" s="45"/>
    </row>
    <row r="602" spans="5:15" x14ac:dyDescent="0.2">
      <c r="E602" s="10"/>
      <c r="F602" s="53"/>
      <c r="G602" s="9"/>
      <c r="J602" s="17"/>
      <c r="K602" s="17"/>
      <c r="N602" s="10"/>
      <c r="O602" s="45"/>
    </row>
    <row r="603" spans="5:15" x14ac:dyDescent="0.2">
      <c r="E603" s="10"/>
      <c r="F603" s="53"/>
      <c r="G603" s="9"/>
      <c r="J603" s="17"/>
      <c r="K603" s="17"/>
      <c r="N603" s="10"/>
      <c r="O603" s="45"/>
    </row>
    <row r="604" spans="5:15" x14ac:dyDescent="0.2">
      <c r="E604" s="10"/>
      <c r="F604" s="53"/>
      <c r="G604" s="9"/>
      <c r="J604" s="17"/>
      <c r="K604" s="17"/>
      <c r="N604" s="10"/>
      <c r="O604" s="45"/>
    </row>
    <row r="605" spans="5:15" x14ac:dyDescent="0.2">
      <c r="E605" s="10"/>
      <c r="F605" s="53"/>
      <c r="G605" s="9"/>
      <c r="J605" s="17"/>
      <c r="K605" s="17"/>
      <c r="N605" s="10"/>
      <c r="O605" s="45"/>
    </row>
    <row r="606" spans="5:15" x14ac:dyDescent="0.2">
      <c r="E606" s="10"/>
      <c r="F606" s="53"/>
      <c r="G606" s="9"/>
      <c r="J606" s="17"/>
      <c r="K606" s="17"/>
      <c r="N606" s="10"/>
      <c r="O606" s="45"/>
    </row>
    <row r="607" spans="5:15" x14ac:dyDescent="0.2">
      <c r="E607" s="10"/>
      <c r="F607" s="53"/>
      <c r="G607" s="9"/>
      <c r="J607" s="17"/>
      <c r="K607" s="17"/>
      <c r="N607" s="10"/>
      <c r="O607" s="45"/>
    </row>
    <row r="608" spans="5:15" x14ac:dyDescent="0.2">
      <c r="E608" s="10"/>
      <c r="F608" s="53"/>
      <c r="G608" s="9"/>
      <c r="J608" s="17"/>
      <c r="K608" s="17"/>
      <c r="N608" s="10"/>
      <c r="O608" s="45"/>
    </row>
    <row r="609" spans="5:15" x14ac:dyDescent="0.2">
      <c r="E609" s="10"/>
      <c r="F609" s="53"/>
      <c r="G609" s="9"/>
      <c r="J609" s="17"/>
      <c r="K609" s="17"/>
      <c r="N609" s="10"/>
      <c r="O609" s="45"/>
    </row>
    <row r="610" spans="5:15" x14ac:dyDescent="0.2">
      <c r="E610" s="10"/>
      <c r="F610" s="53"/>
      <c r="G610" s="9"/>
      <c r="J610" s="17"/>
      <c r="K610" s="17"/>
      <c r="N610" s="10"/>
      <c r="O610" s="45"/>
    </row>
    <row r="611" spans="5:15" x14ac:dyDescent="0.2">
      <c r="E611" s="10"/>
      <c r="F611" s="53"/>
      <c r="G611" s="9"/>
      <c r="J611" s="17"/>
      <c r="K611" s="17"/>
      <c r="N611" s="10"/>
      <c r="O611" s="45"/>
    </row>
    <row r="612" spans="5:15" x14ac:dyDescent="0.2">
      <c r="E612" s="10"/>
      <c r="F612" s="53"/>
      <c r="G612" s="9"/>
      <c r="J612" s="17"/>
      <c r="K612" s="17"/>
      <c r="N612" s="10"/>
      <c r="O612" s="45"/>
    </row>
    <row r="613" spans="5:15" x14ac:dyDescent="0.2">
      <c r="E613" s="10"/>
      <c r="F613" s="53"/>
      <c r="G613" s="9"/>
      <c r="J613" s="17"/>
      <c r="K613" s="17"/>
      <c r="N613" s="10"/>
      <c r="O613" s="45"/>
    </row>
    <row r="614" spans="5:15" x14ac:dyDescent="0.2">
      <c r="E614" s="10"/>
      <c r="F614" s="53"/>
      <c r="G614" s="9"/>
      <c r="J614" s="17"/>
      <c r="K614" s="17"/>
      <c r="N614" s="10"/>
      <c r="O614" s="45"/>
    </row>
    <row r="615" spans="5:15" x14ac:dyDescent="0.2">
      <c r="E615" s="10"/>
      <c r="F615" s="53"/>
      <c r="G615" s="9"/>
      <c r="J615" s="17"/>
      <c r="K615" s="17"/>
      <c r="N615" s="10"/>
      <c r="O615" s="45"/>
    </row>
    <row r="616" spans="5:15" x14ac:dyDescent="0.2">
      <c r="E616" s="10"/>
      <c r="F616" s="53"/>
      <c r="G616" s="9"/>
      <c r="J616" s="17"/>
      <c r="K616" s="17"/>
      <c r="N616" s="10"/>
      <c r="O616" s="45"/>
    </row>
    <row r="617" spans="5:15" x14ac:dyDescent="0.2">
      <c r="E617" s="10"/>
      <c r="F617" s="53"/>
      <c r="G617" s="9"/>
      <c r="J617" s="17"/>
      <c r="K617" s="17"/>
      <c r="N617" s="10"/>
      <c r="O617" s="45"/>
    </row>
    <row r="618" spans="5:15" x14ac:dyDescent="0.2">
      <c r="E618" s="10"/>
      <c r="F618" s="53"/>
      <c r="G618" s="9"/>
      <c r="J618" s="17"/>
      <c r="K618" s="17"/>
      <c r="N618" s="10"/>
      <c r="O618" s="45"/>
    </row>
    <row r="619" spans="5:15" x14ac:dyDescent="0.2">
      <c r="E619" s="10"/>
      <c r="F619" s="53"/>
      <c r="G619" s="9"/>
      <c r="J619" s="17"/>
      <c r="K619" s="17"/>
      <c r="N619" s="10"/>
      <c r="O619" s="45"/>
    </row>
    <row r="620" spans="5:15" x14ac:dyDescent="0.2">
      <c r="E620" s="10"/>
      <c r="F620" s="53"/>
      <c r="G620" s="9"/>
      <c r="J620" s="17"/>
      <c r="K620" s="17"/>
      <c r="N620" s="10"/>
      <c r="O620" s="45"/>
    </row>
    <row r="621" spans="5:15" x14ac:dyDescent="0.2">
      <c r="E621" s="10"/>
      <c r="F621" s="53"/>
      <c r="G621" s="9"/>
      <c r="J621" s="17"/>
      <c r="K621" s="17"/>
      <c r="N621" s="10"/>
      <c r="O621" s="45"/>
    </row>
    <row r="622" spans="5:15" x14ac:dyDescent="0.2">
      <c r="E622" s="10"/>
      <c r="F622" s="53"/>
      <c r="G622" s="9"/>
      <c r="J622" s="17"/>
      <c r="K622" s="17"/>
      <c r="N622" s="10"/>
      <c r="O622" s="45"/>
    </row>
    <row r="623" spans="5:15" x14ac:dyDescent="0.2">
      <c r="E623" s="10"/>
      <c r="F623" s="53"/>
      <c r="G623" s="9"/>
      <c r="J623" s="17"/>
      <c r="K623" s="17"/>
      <c r="N623" s="10"/>
      <c r="O623" s="45"/>
    </row>
    <row r="624" spans="5:15" x14ac:dyDescent="0.2">
      <c r="E624" s="10"/>
      <c r="F624" s="53"/>
      <c r="G624" s="9"/>
      <c r="J624" s="17"/>
      <c r="K624" s="17"/>
      <c r="N624" s="10"/>
      <c r="O624" s="45"/>
    </row>
    <row r="625" spans="5:15" x14ac:dyDescent="0.2">
      <c r="E625" s="10"/>
      <c r="F625" s="53"/>
      <c r="G625" s="9"/>
      <c r="J625" s="17"/>
      <c r="K625" s="17"/>
      <c r="N625" s="10"/>
      <c r="O625" s="45"/>
    </row>
    <row r="626" spans="5:15" x14ac:dyDescent="0.2">
      <c r="E626" s="10"/>
      <c r="F626" s="53"/>
      <c r="G626" s="9"/>
      <c r="J626" s="17"/>
      <c r="K626" s="17"/>
      <c r="N626" s="10"/>
      <c r="O626" s="45"/>
    </row>
    <row r="627" spans="5:15" x14ac:dyDescent="0.2">
      <c r="E627" s="10"/>
      <c r="F627" s="53"/>
      <c r="G627" s="9"/>
      <c r="J627" s="17"/>
      <c r="K627" s="17"/>
      <c r="N627" s="10"/>
      <c r="O627" s="45"/>
    </row>
    <row r="628" spans="5:15" x14ac:dyDescent="0.2">
      <c r="E628" s="10"/>
      <c r="F628" s="53"/>
      <c r="G628" s="9"/>
      <c r="J628" s="17"/>
      <c r="K628" s="17"/>
      <c r="N628" s="10"/>
      <c r="O628" s="45"/>
    </row>
    <row r="629" spans="5:15" x14ac:dyDescent="0.2">
      <c r="E629" s="10"/>
      <c r="F629" s="53"/>
      <c r="G629" s="9"/>
      <c r="J629" s="17"/>
      <c r="K629" s="17"/>
      <c r="N629" s="10"/>
      <c r="O629" s="45"/>
    </row>
    <row r="630" spans="5:15" x14ac:dyDescent="0.2">
      <c r="E630" s="10"/>
      <c r="F630" s="53"/>
      <c r="G630" s="9"/>
      <c r="J630" s="17"/>
      <c r="K630" s="17"/>
      <c r="N630" s="10"/>
      <c r="O630" s="45"/>
    </row>
    <row r="631" spans="5:15" x14ac:dyDescent="0.2">
      <c r="E631" s="10"/>
      <c r="F631" s="53"/>
      <c r="G631" s="9"/>
      <c r="J631" s="17"/>
      <c r="K631" s="17"/>
      <c r="N631" s="10"/>
      <c r="O631" s="45"/>
    </row>
    <row r="632" spans="5:15" x14ac:dyDescent="0.2">
      <c r="E632" s="10"/>
      <c r="F632" s="53"/>
      <c r="G632" s="9"/>
      <c r="J632" s="17"/>
      <c r="K632" s="17"/>
      <c r="N632" s="10"/>
      <c r="O632" s="45"/>
    </row>
    <row r="633" spans="5:15" x14ac:dyDescent="0.2">
      <c r="E633" s="10"/>
      <c r="F633" s="53"/>
      <c r="G633" s="9"/>
      <c r="J633" s="17"/>
      <c r="K633" s="17"/>
      <c r="N633" s="10"/>
      <c r="O633" s="45"/>
    </row>
    <row r="634" spans="5:15" x14ac:dyDescent="0.2">
      <c r="E634" s="10"/>
      <c r="F634" s="53"/>
      <c r="G634" s="9"/>
      <c r="J634" s="17"/>
      <c r="K634" s="17"/>
      <c r="N634" s="10"/>
      <c r="O634" s="45"/>
    </row>
    <row r="635" spans="5:15" x14ac:dyDescent="0.2">
      <c r="E635" s="10"/>
      <c r="F635" s="53"/>
      <c r="G635" s="9"/>
      <c r="J635" s="17"/>
      <c r="K635" s="17"/>
      <c r="N635" s="10"/>
      <c r="O635" s="45"/>
    </row>
    <row r="636" spans="5:15" x14ac:dyDescent="0.2">
      <c r="E636" s="10"/>
      <c r="F636" s="53"/>
      <c r="G636" s="9"/>
      <c r="J636" s="17"/>
      <c r="K636" s="17"/>
      <c r="N636" s="10"/>
      <c r="O636" s="45"/>
    </row>
    <row r="637" spans="5:15" x14ac:dyDescent="0.2">
      <c r="E637" s="10"/>
      <c r="F637" s="53"/>
      <c r="G637" s="9"/>
      <c r="J637" s="17"/>
      <c r="K637" s="17"/>
      <c r="N637" s="10"/>
      <c r="O637" s="45"/>
    </row>
    <row r="638" spans="5:15" x14ac:dyDescent="0.2">
      <c r="E638" s="10"/>
      <c r="F638" s="53"/>
      <c r="G638" s="9"/>
      <c r="J638" s="17"/>
      <c r="K638" s="17"/>
      <c r="N638" s="10"/>
      <c r="O638" s="45"/>
    </row>
    <row r="639" spans="5:15" x14ac:dyDescent="0.2">
      <c r="E639" s="10"/>
      <c r="F639" s="53"/>
      <c r="G639" s="9"/>
      <c r="J639" s="17"/>
      <c r="K639" s="17"/>
      <c r="N639" s="10"/>
      <c r="O639" s="45"/>
    </row>
    <row r="640" spans="5:15" x14ac:dyDescent="0.2">
      <c r="E640" s="10"/>
      <c r="F640" s="53"/>
      <c r="G640" s="9"/>
      <c r="J640" s="17"/>
      <c r="K640" s="17"/>
      <c r="N640" s="10"/>
      <c r="O640" s="45"/>
    </row>
    <row r="641" spans="5:15" x14ac:dyDescent="0.2">
      <c r="E641" s="10"/>
      <c r="F641" s="53"/>
      <c r="G641" s="9"/>
      <c r="J641" s="17"/>
      <c r="K641" s="17"/>
      <c r="N641" s="10"/>
      <c r="O641" s="45"/>
    </row>
    <row r="642" spans="5:15" x14ac:dyDescent="0.2">
      <c r="E642" s="10"/>
      <c r="F642" s="53"/>
      <c r="G642" s="9"/>
      <c r="J642" s="17"/>
      <c r="K642" s="17"/>
      <c r="N642" s="10"/>
      <c r="O642" s="45"/>
    </row>
    <row r="643" spans="5:15" x14ac:dyDescent="0.2">
      <c r="E643" s="10"/>
      <c r="F643" s="53"/>
      <c r="G643" s="9"/>
      <c r="J643" s="17"/>
      <c r="K643" s="17"/>
      <c r="N643" s="10"/>
      <c r="O643" s="45"/>
    </row>
    <row r="644" spans="5:15" x14ac:dyDescent="0.2">
      <c r="E644" s="10"/>
      <c r="F644" s="53"/>
      <c r="G644" s="9"/>
      <c r="J644" s="17"/>
      <c r="K644" s="17"/>
      <c r="N644" s="10"/>
      <c r="O644" s="45"/>
    </row>
    <row r="645" spans="5:15" x14ac:dyDescent="0.2">
      <c r="E645" s="10"/>
      <c r="F645" s="53"/>
      <c r="G645" s="9"/>
      <c r="J645" s="17"/>
      <c r="K645" s="17"/>
      <c r="N645" s="10"/>
      <c r="O645" s="45"/>
    </row>
    <row r="646" spans="5:15" x14ac:dyDescent="0.2">
      <c r="E646" s="10"/>
      <c r="F646" s="53"/>
      <c r="G646" s="9"/>
      <c r="J646" s="17"/>
      <c r="K646" s="17"/>
      <c r="N646" s="10"/>
      <c r="O646" s="45"/>
    </row>
    <row r="647" spans="5:15" x14ac:dyDescent="0.2">
      <c r="E647" s="10"/>
      <c r="F647" s="53"/>
      <c r="G647" s="9"/>
      <c r="J647" s="17"/>
      <c r="K647" s="17"/>
      <c r="N647" s="10"/>
      <c r="O647" s="45"/>
    </row>
    <row r="648" spans="5:15" x14ac:dyDescent="0.2">
      <c r="E648" s="10"/>
      <c r="F648" s="53"/>
      <c r="G648" s="9"/>
      <c r="J648" s="17"/>
      <c r="K648" s="17"/>
      <c r="N648" s="10"/>
      <c r="O648" s="45"/>
    </row>
    <row r="649" spans="5:15" x14ac:dyDescent="0.2">
      <c r="E649" s="10"/>
      <c r="F649" s="53"/>
      <c r="G649" s="9"/>
      <c r="J649" s="17"/>
      <c r="K649" s="17"/>
      <c r="N649" s="10"/>
      <c r="O649" s="45"/>
    </row>
    <row r="650" spans="5:15" x14ac:dyDescent="0.2">
      <c r="E650" s="10"/>
      <c r="F650" s="53"/>
      <c r="G650" s="9"/>
      <c r="J650" s="17"/>
      <c r="K650" s="17"/>
      <c r="N650" s="10"/>
      <c r="O650" s="45"/>
    </row>
    <row r="651" spans="5:15" x14ac:dyDescent="0.2">
      <c r="E651" s="10"/>
      <c r="F651" s="53"/>
      <c r="G651" s="9"/>
      <c r="J651" s="17"/>
      <c r="K651" s="17"/>
      <c r="N651" s="10"/>
      <c r="O651" s="45"/>
    </row>
    <row r="652" spans="5:15" x14ac:dyDescent="0.2">
      <c r="E652" s="10"/>
      <c r="F652" s="53"/>
      <c r="G652" s="9"/>
      <c r="J652" s="17"/>
      <c r="K652" s="17"/>
      <c r="N652" s="10"/>
      <c r="O652" s="45"/>
    </row>
    <row r="653" spans="5:15" x14ac:dyDescent="0.2">
      <c r="E653" s="10"/>
      <c r="F653" s="53"/>
      <c r="G653" s="9"/>
      <c r="J653" s="17"/>
      <c r="K653" s="17"/>
      <c r="N653" s="10"/>
      <c r="O653" s="45"/>
    </row>
    <row r="654" spans="5:15" x14ac:dyDescent="0.2">
      <c r="E654" s="10"/>
      <c r="F654" s="53"/>
      <c r="G654" s="9"/>
      <c r="J654" s="17"/>
      <c r="K654" s="17"/>
      <c r="N654" s="10"/>
      <c r="O654" s="45"/>
    </row>
    <row r="655" spans="5:15" x14ac:dyDescent="0.2">
      <c r="E655" s="10"/>
      <c r="F655" s="53"/>
      <c r="G655" s="9"/>
      <c r="J655" s="17"/>
      <c r="K655" s="17"/>
      <c r="N655" s="10"/>
      <c r="O655" s="45"/>
    </row>
    <row r="656" spans="5:15" x14ac:dyDescent="0.2">
      <c r="E656" s="10"/>
      <c r="F656" s="53"/>
      <c r="G656" s="9"/>
      <c r="J656" s="17"/>
      <c r="K656" s="17"/>
      <c r="N656" s="10"/>
      <c r="O656" s="45"/>
    </row>
    <row r="657" spans="5:15" x14ac:dyDescent="0.2">
      <c r="E657" s="10"/>
      <c r="F657" s="53"/>
      <c r="G657" s="9"/>
      <c r="J657" s="17"/>
      <c r="K657" s="17"/>
      <c r="N657" s="10"/>
      <c r="O657" s="45"/>
    </row>
    <row r="658" spans="5:15" x14ac:dyDescent="0.2">
      <c r="E658" s="10"/>
      <c r="F658" s="53"/>
      <c r="G658" s="9"/>
      <c r="J658" s="17"/>
      <c r="K658" s="17"/>
      <c r="N658" s="10"/>
      <c r="O658" s="45"/>
    </row>
    <row r="659" spans="5:15" x14ac:dyDescent="0.2">
      <c r="E659" s="10"/>
      <c r="F659" s="53"/>
      <c r="G659" s="9"/>
      <c r="J659" s="17"/>
      <c r="K659" s="17"/>
      <c r="N659" s="10"/>
      <c r="O659" s="45"/>
    </row>
    <row r="660" spans="5:15" x14ac:dyDescent="0.2">
      <c r="E660" s="10"/>
      <c r="F660" s="53"/>
      <c r="G660" s="9"/>
      <c r="J660" s="17"/>
      <c r="K660" s="17"/>
      <c r="N660" s="10"/>
      <c r="O660" s="45"/>
    </row>
    <row r="661" spans="5:15" x14ac:dyDescent="0.2">
      <c r="E661" s="10"/>
      <c r="F661" s="53"/>
      <c r="G661" s="9"/>
      <c r="J661" s="17"/>
      <c r="K661" s="17"/>
      <c r="N661" s="10"/>
      <c r="O661" s="45"/>
    </row>
    <row r="662" spans="5:15" x14ac:dyDescent="0.2">
      <c r="E662" s="10"/>
      <c r="F662" s="53"/>
      <c r="G662" s="9"/>
      <c r="J662" s="17"/>
      <c r="K662" s="17"/>
      <c r="N662" s="10"/>
      <c r="O662" s="45"/>
    </row>
    <row r="663" spans="5:15" x14ac:dyDescent="0.2">
      <c r="E663" s="10"/>
      <c r="F663" s="53"/>
      <c r="G663" s="9"/>
      <c r="J663" s="17"/>
      <c r="K663" s="17"/>
      <c r="N663" s="10"/>
      <c r="O663" s="45"/>
    </row>
    <row r="664" spans="5:15" x14ac:dyDescent="0.2">
      <c r="E664" s="10"/>
      <c r="F664" s="53"/>
      <c r="G664" s="9"/>
      <c r="J664" s="17"/>
      <c r="K664" s="17"/>
      <c r="N664" s="10"/>
      <c r="O664" s="45"/>
    </row>
    <row r="665" spans="5:15" x14ac:dyDescent="0.2">
      <c r="E665" s="10"/>
      <c r="F665" s="53"/>
      <c r="G665" s="9"/>
      <c r="J665" s="17"/>
      <c r="K665" s="17"/>
      <c r="N665" s="10"/>
      <c r="O665" s="45"/>
    </row>
    <row r="666" spans="5:15" x14ac:dyDescent="0.2">
      <c r="E666" s="10"/>
      <c r="F666" s="53"/>
      <c r="G666" s="9"/>
      <c r="J666" s="17"/>
      <c r="K666" s="17"/>
      <c r="N666" s="10"/>
      <c r="O666" s="45"/>
    </row>
    <row r="667" spans="5:15" x14ac:dyDescent="0.2">
      <c r="J667" s="17"/>
      <c r="K667" s="17"/>
    </row>
    <row r="668" spans="5:15" ht="12.75" x14ac:dyDescent="0.2">
      <c r="E668" s="54"/>
      <c r="F668" s="55"/>
      <c r="G668" s="56">
        <f>SUM(G9:G667)</f>
        <v>0</v>
      </c>
      <c r="N668" s="54"/>
      <c r="O668" s="55"/>
    </row>
  </sheetData>
  <mergeCells count="5">
    <mergeCell ref="B3:B4"/>
    <mergeCell ref="C3:C4"/>
    <mergeCell ref="E3:G3"/>
    <mergeCell ref="I3:K3"/>
    <mergeCell ref="M3:M4"/>
  </mergeCells>
  <dataValidations count="2">
    <dataValidation type="list" allowBlank="1" showInputMessage="1" showErrorMessage="1" sqref="M10:M12 L17:L665 M48:M665 L14:M15 L9:L13" xr:uid="{5F9020A4-089D-4830-840D-83385D9FC056}">
      <formula1>Taxes</formula1>
    </dataValidation>
    <dataValidation type="list" allowBlank="1" showInputMessage="1" showErrorMessage="1" sqref="B9:C666" xr:uid="{09A0F3F8-4FDA-4016-A15C-EE486E978388}">
      <formula1>Compadjust</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DF2E1-1869-4451-8743-3FB1D64B25E8}">
  <dimension ref="A1:G17"/>
  <sheetViews>
    <sheetView showGridLines="0" zoomScale="85" zoomScaleNormal="85" workbookViewId="0">
      <selection activeCell="G8" sqref="G8"/>
    </sheetView>
  </sheetViews>
  <sheetFormatPr defaultColWidth="11.43359375" defaultRowHeight="15" x14ac:dyDescent="0.2"/>
  <cols>
    <col min="1" max="1" width="5.6484375" customWidth="1"/>
    <col min="2" max="2" width="3.359375" style="2" bestFit="1" customWidth="1"/>
    <col min="3" max="3" width="43.046875" customWidth="1"/>
    <col min="4" max="4" width="12.375" bestFit="1" customWidth="1"/>
    <col min="5" max="5" width="32.95703125" bestFit="1" customWidth="1"/>
    <col min="6" max="6" width="17.484375" customWidth="1"/>
    <col min="7" max="7" width="71.4296875" style="1" customWidth="1"/>
  </cols>
  <sheetData>
    <row r="1" spans="1:7" x14ac:dyDescent="0.2">
      <c r="B1" s="3" t="s">
        <v>21</v>
      </c>
    </row>
    <row r="3" spans="1:7" ht="22.5" x14ac:dyDescent="0.2">
      <c r="A3" s="111"/>
      <c r="B3" s="113" t="s">
        <v>22</v>
      </c>
      <c r="C3" s="113" t="s">
        <v>23</v>
      </c>
      <c r="D3" s="131" t="s">
        <v>24</v>
      </c>
      <c r="E3" s="115" t="s">
        <v>25</v>
      </c>
      <c r="F3" s="115" t="s">
        <v>26</v>
      </c>
      <c r="G3" s="115" t="s">
        <v>27</v>
      </c>
    </row>
    <row r="4" spans="1:7" x14ac:dyDescent="0.2">
      <c r="B4" s="117">
        <v>1</v>
      </c>
      <c r="C4" s="118" t="s">
        <v>28</v>
      </c>
      <c r="D4" s="132">
        <v>41936</v>
      </c>
      <c r="E4" s="130" t="s">
        <v>29</v>
      </c>
      <c r="F4" s="133" t="s">
        <v>30</v>
      </c>
      <c r="G4" s="134" t="s">
        <v>31</v>
      </c>
    </row>
    <row r="5" spans="1:7" x14ac:dyDescent="0.2">
      <c r="B5" s="117">
        <v>2</v>
      </c>
      <c r="C5" s="118" t="s">
        <v>32</v>
      </c>
      <c r="D5" s="132">
        <v>23285</v>
      </c>
      <c r="E5" s="130" t="s">
        <v>33</v>
      </c>
      <c r="F5" s="133" t="s">
        <v>34</v>
      </c>
      <c r="G5" s="134" t="s">
        <v>35</v>
      </c>
    </row>
    <row r="6" spans="1:7" ht="22.5" x14ac:dyDescent="0.2">
      <c r="B6" s="117">
        <v>3</v>
      </c>
      <c r="C6" s="118" t="s">
        <v>36</v>
      </c>
      <c r="D6" s="132">
        <v>33940</v>
      </c>
      <c r="E6" s="130" t="s">
        <v>37</v>
      </c>
      <c r="F6" s="133" t="s">
        <v>38</v>
      </c>
      <c r="G6" s="134" t="s">
        <v>39</v>
      </c>
    </row>
    <row r="7" spans="1:7" x14ac:dyDescent="0.2">
      <c r="B7" s="117">
        <v>4</v>
      </c>
      <c r="C7" s="118" t="s">
        <v>40</v>
      </c>
      <c r="D7" s="132">
        <v>39840</v>
      </c>
      <c r="E7" s="130" t="s">
        <v>41</v>
      </c>
      <c r="F7" s="133" t="s">
        <v>42</v>
      </c>
      <c r="G7" s="134" t="s">
        <v>43</v>
      </c>
    </row>
    <row r="8" spans="1:7" ht="22.5" x14ac:dyDescent="0.2">
      <c r="B8" s="117">
        <v>5</v>
      </c>
      <c r="C8" s="118" t="s">
        <v>44</v>
      </c>
      <c r="D8" s="132">
        <v>37924</v>
      </c>
      <c r="E8" s="130" t="s">
        <v>45</v>
      </c>
      <c r="F8" s="133" t="s">
        <v>46</v>
      </c>
      <c r="G8" s="134" t="s">
        <v>47</v>
      </c>
    </row>
    <row r="9" spans="1:7" x14ac:dyDescent="0.2">
      <c r="B9" s="117">
        <v>6</v>
      </c>
      <c r="C9" s="118" t="s">
        <v>48</v>
      </c>
      <c r="D9" s="132">
        <v>39586</v>
      </c>
      <c r="E9" s="130">
        <v>349895870</v>
      </c>
      <c r="F9" s="133" t="s">
        <v>49</v>
      </c>
      <c r="G9" s="134" t="s">
        <v>50</v>
      </c>
    </row>
    <row r="10" spans="1:7" x14ac:dyDescent="0.2">
      <c r="B10" s="117">
        <v>7</v>
      </c>
      <c r="C10" s="118" t="s">
        <v>51</v>
      </c>
      <c r="D10" s="132" t="s">
        <v>52</v>
      </c>
      <c r="E10" s="130" t="s">
        <v>53</v>
      </c>
      <c r="F10" s="133" t="s">
        <v>54</v>
      </c>
      <c r="G10" s="134" t="s">
        <v>55</v>
      </c>
    </row>
    <row r="11" spans="1:7" x14ac:dyDescent="0.2">
      <c r="B11" s="117">
        <v>8</v>
      </c>
      <c r="C11" s="118" t="s">
        <v>56</v>
      </c>
      <c r="D11" s="132" t="s">
        <v>57</v>
      </c>
      <c r="E11" s="130" t="s">
        <v>57</v>
      </c>
      <c r="F11" s="133" t="s">
        <v>57</v>
      </c>
      <c r="G11" s="134" t="s">
        <v>57</v>
      </c>
    </row>
    <row r="12" spans="1:7" x14ac:dyDescent="0.2">
      <c r="B12" s="117">
        <v>9</v>
      </c>
      <c r="C12" s="118" t="s">
        <v>58</v>
      </c>
      <c r="D12" s="132" t="s">
        <v>57</v>
      </c>
      <c r="E12" s="130" t="s">
        <v>57</v>
      </c>
      <c r="F12" s="133" t="s">
        <v>57</v>
      </c>
      <c r="G12" s="134" t="s">
        <v>57</v>
      </c>
    </row>
    <row r="13" spans="1:7" x14ac:dyDescent="0.2">
      <c r="B13" s="117">
        <v>10</v>
      </c>
      <c r="C13" s="118" t="s">
        <v>59</v>
      </c>
      <c r="D13" s="132" t="s">
        <v>57</v>
      </c>
      <c r="E13" s="130" t="s">
        <v>57</v>
      </c>
      <c r="F13" s="133" t="s">
        <v>57</v>
      </c>
      <c r="G13" s="134" t="s">
        <v>57</v>
      </c>
    </row>
    <row r="14" spans="1:7" x14ac:dyDescent="0.2">
      <c r="B14" s="117">
        <v>11</v>
      </c>
      <c r="C14" s="118" t="s">
        <v>60</v>
      </c>
      <c r="D14" s="132" t="s">
        <v>57</v>
      </c>
      <c r="E14" s="130" t="s">
        <v>57</v>
      </c>
      <c r="F14" s="133" t="s">
        <v>57</v>
      </c>
      <c r="G14" s="134" t="s">
        <v>57</v>
      </c>
    </row>
    <row r="15" spans="1:7" x14ac:dyDescent="0.2">
      <c r="B15" s="117">
        <v>12</v>
      </c>
      <c r="C15" s="118" t="s">
        <v>61</v>
      </c>
      <c r="D15" s="132" t="s">
        <v>57</v>
      </c>
      <c r="E15" s="130" t="s">
        <v>57</v>
      </c>
      <c r="F15" s="133" t="s">
        <v>57</v>
      </c>
      <c r="G15" s="134" t="s">
        <v>57</v>
      </c>
    </row>
    <row r="16" spans="1:7" x14ac:dyDescent="0.2">
      <c r="F16" s="79"/>
    </row>
    <row r="17" spans="2:2" x14ac:dyDescent="0.2">
      <c r="B17" s="292" t="s">
        <v>62</v>
      </c>
    </row>
  </sheetData>
  <autoFilter ref="B3:G3" xr:uid="{607DF2E1-1869-4451-8743-3FB1D64B25E8}"/>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B83D0-A994-4758-AD32-02F2002E07BA}">
  <dimension ref="A1:N675"/>
  <sheetViews>
    <sheetView showGridLines="0" zoomScale="85" zoomScaleNormal="85" workbookViewId="0">
      <selection activeCell="B9" sqref="B9"/>
    </sheetView>
  </sheetViews>
  <sheetFormatPr defaultColWidth="11.56640625" defaultRowHeight="10.5" x14ac:dyDescent="0.2"/>
  <cols>
    <col min="1" max="1" width="3.62890625" style="17" bestFit="1" customWidth="1"/>
    <col min="2" max="2" width="48.83203125" style="13" customWidth="1"/>
    <col min="3" max="3" width="14.390625" style="13" customWidth="1"/>
    <col min="4" max="4" width="0.94140625" style="13" customWidth="1"/>
    <col min="5" max="5" width="15.6015625" style="13" customWidth="1"/>
    <col min="6" max="6" width="14.9296875" style="10" bestFit="1" customWidth="1"/>
    <col min="7" max="7" width="17.3515625" style="13" bestFit="1" customWidth="1"/>
    <col min="8" max="8" width="0.94140625" style="13" customWidth="1"/>
    <col min="9" max="9" width="15.6015625" style="13" bestFit="1" customWidth="1"/>
    <col min="10" max="10" width="14.125" style="13" customWidth="1"/>
    <col min="11" max="11" width="15.6015625" style="13" bestFit="1" customWidth="1"/>
    <col min="12" max="12" width="0.94140625" style="13" customWidth="1"/>
    <col min="13" max="13" width="15.87109375" style="13" bestFit="1" customWidth="1"/>
    <col min="14" max="14" width="8.609375" style="13" customWidth="1"/>
    <col min="15" max="16384" width="11.56640625" style="13"/>
  </cols>
  <sheetData>
    <row r="1" spans="2:14" ht="19.5" x14ac:dyDescent="0.1">
      <c r="B1" s="12" t="s">
        <v>3380</v>
      </c>
      <c r="C1" s="12"/>
      <c r="E1" s="14" t="s">
        <v>59</v>
      </c>
      <c r="F1" s="12" t="s">
        <v>3381</v>
      </c>
      <c r="G1" s="15">
        <v>489733675</v>
      </c>
      <c r="J1" s="12" t="s">
        <v>3382</v>
      </c>
      <c r="K1" s="16">
        <v>2021</v>
      </c>
    </row>
    <row r="2" spans="2:14" x14ac:dyDescent="0.2">
      <c r="B2" s="15"/>
      <c r="C2" s="15"/>
      <c r="F2" s="13"/>
      <c r="J2" s="21"/>
      <c r="M2" s="22"/>
    </row>
    <row r="3" spans="2:14" ht="13.5" customHeight="1" x14ac:dyDescent="0.2">
      <c r="B3" s="427" t="s">
        <v>3383</v>
      </c>
      <c r="C3" s="427" t="s">
        <v>3384</v>
      </c>
      <c r="E3" s="425" t="s">
        <v>3385</v>
      </c>
      <c r="F3" s="426"/>
      <c r="G3" s="427"/>
      <c r="I3" s="425" t="s">
        <v>3386</v>
      </c>
      <c r="J3" s="426"/>
      <c r="K3" s="427"/>
      <c r="M3" s="426" t="s">
        <v>3387</v>
      </c>
    </row>
    <row r="4" spans="2:14" ht="11.25" thickBot="1" x14ac:dyDescent="0.25">
      <c r="B4" s="430"/>
      <c r="C4" s="430"/>
      <c r="E4" s="18" t="s">
        <v>3388</v>
      </c>
      <c r="F4" s="19" t="s">
        <v>3389</v>
      </c>
      <c r="G4" s="27" t="s">
        <v>3390</v>
      </c>
      <c r="I4" s="18" t="s">
        <v>3388</v>
      </c>
      <c r="J4" s="19" t="s">
        <v>3389</v>
      </c>
      <c r="K4" s="27" t="s">
        <v>3390</v>
      </c>
      <c r="M4" s="428"/>
    </row>
    <row r="5" spans="2:14" ht="13.5" customHeight="1" x14ac:dyDescent="0.2">
      <c r="B5" s="193" t="s">
        <v>3391</v>
      </c>
      <c r="C5" s="24"/>
      <c r="E5" s="25">
        <f>SUM(E6:E6)</f>
        <v>0</v>
      </c>
      <c r="F5" s="25">
        <f>SUM(F6:F6)</f>
        <v>0</v>
      </c>
      <c r="G5" s="25">
        <f>SUM(G6:G6)</f>
        <v>0</v>
      </c>
      <c r="I5" s="185">
        <f>SUM(I6:I6)</f>
        <v>258292949</v>
      </c>
      <c r="J5" s="185">
        <f>SUM(J6:J6)</f>
        <v>0</v>
      </c>
      <c r="K5" s="185">
        <f>SUM(K6:K6)</f>
        <v>258292949</v>
      </c>
      <c r="L5" s="183"/>
      <c r="M5" s="185">
        <f>SUM(M6:M6)</f>
        <v>-258292949</v>
      </c>
    </row>
    <row r="6" spans="2:14" x14ac:dyDescent="0.2">
      <c r="B6" s="17" t="str">
        <f>[1]Taxes!B46</f>
        <v xml:space="preserve">Contribution à la formation professionnelle et apprentissage </v>
      </c>
      <c r="C6" s="17" t="s">
        <v>3408</v>
      </c>
      <c r="E6" s="9"/>
      <c r="F6" s="9">
        <v>0</v>
      </c>
      <c r="G6" s="9">
        <v>0</v>
      </c>
      <c r="I6" s="184">
        <v>258292949</v>
      </c>
      <c r="J6" s="184">
        <v>0</v>
      </c>
      <c r="K6" s="184">
        <f>I6+J6</f>
        <v>258292949</v>
      </c>
      <c r="L6" s="183"/>
      <c r="M6" s="184">
        <f t="shared" ref="M6" si="0">G6-K6</f>
        <v>-258292949</v>
      </c>
      <c r="N6" s="26"/>
    </row>
    <row r="7" spans="2:14" x14ac:dyDescent="0.2">
      <c r="B7" s="33" t="s">
        <v>3399</v>
      </c>
      <c r="C7" s="33"/>
      <c r="E7" s="34">
        <f>E5</f>
        <v>0</v>
      </c>
      <c r="F7" s="34">
        <f t="shared" ref="F7:G7" si="1">F5</f>
        <v>0</v>
      </c>
      <c r="G7" s="34">
        <f t="shared" si="1"/>
        <v>0</v>
      </c>
      <c r="H7" s="21"/>
      <c r="I7" s="186">
        <f t="shared" ref="I7:K7" si="2">I5</f>
        <v>258292949</v>
      </c>
      <c r="J7" s="186">
        <f t="shared" si="2"/>
        <v>0</v>
      </c>
      <c r="K7" s="186">
        <f t="shared" si="2"/>
        <v>258292949</v>
      </c>
      <c r="L7" s="187"/>
      <c r="M7" s="186">
        <f t="shared" ref="M7" si="3">M5</f>
        <v>-258292949</v>
      </c>
    </row>
    <row r="8" spans="2:14" x14ac:dyDescent="0.2">
      <c r="B8" s="15"/>
      <c r="C8" s="15"/>
      <c r="F8" s="32"/>
      <c r="G8" s="32"/>
      <c r="I8" s="32"/>
      <c r="J8" s="32"/>
      <c r="K8" s="32"/>
      <c r="M8" s="32"/>
    </row>
    <row r="9" spans="2:14" ht="12.75" x14ac:dyDescent="0.1">
      <c r="B9" s="363" t="s">
        <v>3409</v>
      </c>
      <c r="E9" s="30"/>
      <c r="F9" s="42"/>
      <c r="G9" s="38"/>
      <c r="I9" s="39"/>
      <c r="J9" s="17"/>
      <c r="K9" s="17"/>
      <c r="N9" s="31"/>
    </row>
    <row r="10" spans="2:14" x14ac:dyDescent="0.1">
      <c r="E10" s="30"/>
      <c r="F10" s="42"/>
      <c r="G10" s="38"/>
      <c r="I10" s="39"/>
      <c r="J10" s="17"/>
      <c r="K10" s="17"/>
      <c r="N10" s="10"/>
    </row>
    <row r="11" spans="2:14" x14ac:dyDescent="0.1">
      <c r="E11" s="30"/>
      <c r="F11" s="42"/>
      <c r="G11" s="38"/>
      <c r="I11" s="39"/>
      <c r="J11" s="17"/>
      <c r="K11" s="17"/>
      <c r="N11" s="10"/>
    </row>
    <row r="12" spans="2:14" x14ac:dyDescent="0.1">
      <c r="E12" s="30"/>
      <c r="F12" s="42"/>
      <c r="G12" s="38"/>
      <c r="I12" s="39"/>
      <c r="J12" s="17"/>
      <c r="K12" s="17"/>
      <c r="N12" s="10"/>
    </row>
    <row r="13" spans="2:14" x14ac:dyDescent="0.1">
      <c r="E13" s="30"/>
      <c r="F13" s="42"/>
      <c r="G13" s="38"/>
      <c r="I13" s="39"/>
      <c r="J13" s="17"/>
      <c r="K13" s="17"/>
      <c r="N13" s="10"/>
    </row>
    <row r="14" spans="2:14" x14ac:dyDescent="0.1">
      <c r="E14" s="30"/>
      <c r="F14" s="42"/>
      <c r="G14" s="38"/>
      <c r="I14" s="39"/>
      <c r="J14" s="17"/>
      <c r="K14" s="17"/>
      <c r="N14" s="10"/>
    </row>
    <row r="15" spans="2:14" x14ac:dyDescent="0.1">
      <c r="E15" s="30"/>
      <c r="F15" s="42"/>
      <c r="G15" s="38"/>
      <c r="I15" s="39"/>
      <c r="J15" s="17"/>
      <c r="K15" s="17"/>
      <c r="N15" s="10"/>
    </row>
    <row r="16" spans="2:14" x14ac:dyDescent="0.1">
      <c r="E16" s="30"/>
      <c r="F16" s="42"/>
      <c r="G16" s="38"/>
      <c r="I16" s="39"/>
      <c r="J16" s="17"/>
      <c r="K16" s="17"/>
      <c r="N16" s="10"/>
    </row>
    <row r="17" spans="5:14" x14ac:dyDescent="0.1">
      <c r="E17" s="30"/>
      <c r="F17" s="42"/>
      <c r="G17" s="38"/>
      <c r="I17" s="39"/>
      <c r="J17" s="17"/>
      <c r="K17" s="17"/>
      <c r="N17" s="10"/>
    </row>
    <row r="18" spans="5:14" x14ac:dyDescent="0.1">
      <c r="E18" s="30"/>
      <c r="F18" s="42"/>
      <c r="G18" s="38"/>
      <c r="I18" s="39"/>
      <c r="J18" s="17"/>
      <c r="K18" s="17"/>
      <c r="N18" s="10"/>
    </row>
    <row r="19" spans="5:14" x14ac:dyDescent="0.1">
      <c r="E19" s="30"/>
      <c r="F19" s="42"/>
      <c r="G19" s="46"/>
      <c r="J19" s="17"/>
      <c r="K19" s="17"/>
      <c r="M19" s="47"/>
      <c r="N19" s="48"/>
    </row>
    <row r="20" spans="5:14" x14ac:dyDescent="0.1">
      <c r="E20" s="30"/>
      <c r="F20" s="42"/>
      <c r="G20" s="50"/>
      <c r="J20" s="17"/>
      <c r="K20" s="17"/>
      <c r="M20" s="17"/>
      <c r="N20" s="48"/>
    </row>
    <row r="21" spans="5:14" x14ac:dyDescent="0.1">
      <c r="E21" s="30"/>
      <c r="F21" s="42"/>
      <c r="G21" s="50"/>
      <c r="J21" s="17"/>
      <c r="K21" s="17"/>
      <c r="M21" s="47"/>
      <c r="N21" s="10"/>
    </row>
    <row r="22" spans="5:14" x14ac:dyDescent="0.1">
      <c r="E22" s="30"/>
      <c r="F22" s="42"/>
      <c r="G22" s="50"/>
      <c r="J22" s="17"/>
      <c r="K22" s="17"/>
      <c r="M22" s="47"/>
      <c r="N22" s="10"/>
    </row>
    <row r="23" spans="5:14" x14ac:dyDescent="0.1">
      <c r="E23" s="30"/>
      <c r="F23" s="42"/>
      <c r="G23" s="50"/>
      <c r="J23" s="17"/>
      <c r="K23" s="17"/>
      <c r="N23" s="10"/>
    </row>
    <row r="24" spans="5:14" x14ac:dyDescent="0.1">
      <c r="E24" s="30"/>
      <c r="F24" s="42"/>
      <c r="G24" s="50"/>
      <c r="J24" s="17"/>
      <c r="K24" s="17"/>
      <c r="N24" s="10"/>
    </row>
    <row r="25" spans="5:14" x14ac:dyDescent="0.1">
      <c r="E25" s="30"/>
      <c r="F25" s="42"/>
      <c r="G25" s="50"/>
      <c r="J25" s="17"/>
      <c r="K25" s="17"/>
      <c r="N25" s="10"/>
    </row>
    <row r="26" spans="5:14" x14ac:dyDescent="0.1">
      <c r="E26" s="30"/>
      <c r="F26" s="42"/>
      <c r="G26" s="50"/>
      <c r="J26" s="17"/>
      <c r="K26" s="17"/>
      <c r="N26" s="10"/>
    </row>
    <row r="27" spans="5:14" x14ac:dyDescent="0.1">
      <c r="E27" s="30"/>
      <c r="F27" s="42"/>
      <c r="G27" s="50"/>
      <c r="J27" s="17"/>
      <c r="K27" s="17"/>
      <c r="N27" s="10"/>
    </row>
    <row r="28" spans="5:14" x14ac:dyDescent="0.1">
      <c r="E28" s="30"/>
      <c r="F28" s="42"/>
      <c r="G28" s="50"/>
      <c r="J28" s="17"/>
      <c r="K28" s="17"/>
      <c r="N28" s="10"/>
    </row>
    <row r="29" spans="5:14" x14ac:dyDescent="0.1">
      <c r="E29" s="30"/>
      <c r="F29" s="42"/>
      <c r="G29" s="50"/>
      <c r="J29" s="17"/>
      <c r="K29" s="17"/>
      <c r="N29" s="10"/>
    </row>
    <row r="30" spans="5:14" x14ac:dyDescent="0.1">
      <c r="E30" s="30"/>
      <c r="F30" s="42"/>
      <c r="G30" s="50"/>
      <c r="J30" s="17"/>
      <c r="K30" s="17"/>
      <c r="N30" s="10"/>
    </row>
    <row r="31" spans="5:14" x14ac:dyDescent="0.1">
      <c r="E31" s="30"/>
      <c r="F31" s="42"/>
      <c r="G31" s="52"/>
      <c r="J31" s="17"/>
      <c r="K31" s="17"/>
      <c r="N31" s="10"/>
    </row>
    <row r="32" spans="5:14" x14ac:dyDescent="0.1">
      <c r="E32" s="30"/>
      <c r="F32" s="42"/>
      <c r="G32" s="52"/>
      <c r="J32" s="17"/>
      <c r="K32" s="17"/>
      <c r="N32" s="10"/>
    </row>
    <row r="33" spans="5:14" x14ac:dyDescent="0.1">
      <c r="E33" s="30"/>
      <c r="F33" s="42"/>
      <c r="G33" s="52"/>
      <c r="J33" s="17"/>
      <c r="K33" s="17"/>
      <c r="N33" s="10"/>
    </row>
    <row r="34" spans="5:14" x14ac:dyDescent="0.1">
      <c r="E34" s="30"/>
      <c r="F34" s="42"/>
      <c r="G34" s="52"/>
      <c r="J34" s="17"/>
      <c r="K34" s="17"/>
      <c r="N34" s="10"/>
    </row>
    <row r="35" spans="5:14" x14ac:dyDescent="0.1">
      <c r="E35" s="30"/>
      <c r="F35" s="42"/>
      <c r="G35" s="52"/>
      <c r="J35" s="17"/>
      <c r="K35" s="17"/>
      <c r="N35" s="10"/>
    </row>
    <row r="36" spans="5:14" x14ac:dyDescent="0.1">
      <c r="E36" s="30"/>
      <c r="F36" s="42"/>
      <c r="G36" s="52"/>
      <c r="J36" s="17"/>
      <c r="K36" s="17"/>
      <c r="N36" s="10"/>
    </row>
    <row r="37" spans="5:14" x14ac:dyDescent="0.1">
      <c r="E37" s="30"/>
      <c r="F37" s="42"/>
      <c r="G37" s="52"/>
      <c r="J37" s="17"/>
      <c r="K37" s="17"/>
      <c r="N37" s="10"/>
    </row>
    <row r="38" spans="5:14" x14ac:dyDescent="0.1">
      <c r="E38" s="30"/>
      <c r="F38" s="42"/>
      <c r="G38" s="52"/>
      <c r="J38" s="17"/>
      <c r="K38" s="17"/>
      <c r="N38" s="10"/>
    </row>
    <row r="39" spans="5:14" x14ac:dyDescent="0.1">
      <c r="E39" s="30"/>
      <c r="F39" s="42"/>
      <c r="G39" s="52"/>
      <c r="J39" s="17"/>
      <c r="K39" s="17"/>
      <c r="N39" s="10"/>
    </row>
    <row r="40" spans="5:14" x14ac:dyDescent="0.1">
      <c r="E40" s="30"/>
      <c r="F40" s="42"/>
      <c r="G40" s="52"/>
      <c r="J40" s="17"/>
      <c r="K40" s="17"/>
      <c r="N40" s="10"/>
    </row>
    <row r="41" spans="5:14" x14ac:dyDescent="0.1">
      <c r="E41" s="30"/>
      <c r="F41" s="42"/>
      <c r="G41" s="52"/>
      <c r="J41" s="17"/>
      <c r="K41" s="17"/>
      <c r="N41" s="10"/>
    </row>
    <row r="42" spans="5:14" x14ac:dyDescent="0.1">
      <c r="E42" s="30"/>
      <c r="F42" s="42"/>
      <c r="G42" s="52"/>
      <c r="J42" s="17"/>
      <c r="K42" s="17"/>
      <c r="N42" s="10"/>
    </row>
    <row r="43" spans="5:14" x14ac:dyDescent="0.1">
      <c r="E43" s="30"/>
      <c r="F43" s="42"/>
      <c r="G43" s="52"/>
      <c r="J43" s="17"/>
      <c r="K43" s="17"/>
      <c r="N43" s="10"/>
    </row>
    <row r="44" spans="5:14" x14ac:dyDescent="0.1">
      <c r="E44" s="30"/>
      <c r="F44" s="42"/>
      <c r="G44" s="52"/>
      <c r="J44" s="17"/>
      <c r="K44" s="17"/>
      <c r="N44" s="10"/>
    </row>
    <row r="45" spans="5:14" x14ac:dyDescent="0.1">
      <c r="E45" s="30"/>
      <c r="F45" s="42"/>
      <c r="G45" s="52"/>
      <c r="J45" s="17"/>
      <c r="K45" s="17"/>
      <c r="N45" s="10"/>
    </row>
    <row r="46" spans="5:14" x14ac:dyDescent="0.1">
      <c r="E46" s="30"/>
      <c r="F46" s="42"/>
      <c r="G46" s="52"/>
      <c r="J46" s="17"/>
      <c r="K46" s="17"/>
      <c r="N46" s="10"/>
    </row>
    <row r="47" spans="5:14" x14ac:dyDescent="0.1">
      <c r="E47" s="30"/>
      <c r="F47" s="42"/>
      <c r="G47" s="52"/>
      <c r="J47" s="17"/>
      <c r="K47" s="17"/>
      <c r="N47" s="10"/>
    </row>
    <row r="48" spans="5:14" x14ac:dyDescent="0.1">
      <c r="E48" s="30"/>
      <c r="F48" s="42"/>
      <c r="G48" s="52"/>
      <c r="J48" s="17"/>
      <c r="K48" s="17"/>
      <c r="N48" s="10"/>
    </row>
    <row r="49" spans="5:14" x14ac:dyDescent="0.1">
      <c r="E49" s="30"/>
      <c r="F49" s="42"/>
      <c r="G49" s="52"/>
      <c r="J49" s="17"/>
      <c r="K49" s="17"/>
      <c r="N49" s="10"/>
    </row>
    <row r="50" spans="5:14" x14ac:dyDescent="0.1">
      <c r="E50" s="30"/>
      <c r="F50" s="42"/>
      <c r="G50" s="52"/>
      <c r="J50" s="17"/>
      <c r="K50" s="17"/>
      <c r="N50" s="10"/>
    </row>
    <row r="51" spans="5:14" x14ac:dyDescent="0.1">
      <c r="E51" s="30"/>
      <c r="F51" s="42"/>
      <c r="G51" s="52"/>
      <c r="J51" s="17"/>
      <c r="K51" s="17"/>
      <c r="N51" s="10"/>
    </row>
    <row r="52" spans="5:14" x14ac:dyDescent="0.1">
      <c r="E52" s="30"/>
      <c r="F52" s="42"/>
      <c r="G52" s="52"/>
      <c r="J52" s="17"/>
      <c r="K52" s="17"/>
      <c r="N52" s="10"/>
    </row>
    <row r="53" spans="5:14" x14ac:dyDescent="0.1">
      <c r="E53" s="30"/>
      <c r="F53" s="42"/>
      <c r="G53" s="52"/>
      <c r="J53" s="17"/>
      <c r="K53" s="17"/>
      <c r="N53" s="10"/>
    </row>
    <row r="54" spans="5:14" x14ac:dyDescent="0.1">
      <c r="E54" s="30"/>
      <c r="F54" s="42"/>
      <c r="G54" s="52"/>
      <c r="J54" s="17"/>
      <c r="K54" s="17"/>
      <c r="N54" s="10"/>
    </row>
    <row r="55" spans="5:14" x14ac:dyDescent="0.1">
      <c r="E55" s="30"/>
      <c r="F55" s="42"/>
      <c r="G55" s="52"/>
      <c r="J55" s="17"/>
      <c r="K55" s="17"/>
      <c r="N55" s="10"/>
    </row>
    <row r="56" spans="5:14" x14ac:dyDescent="0.1">
      <c r="E56" s="30"/>
      <c r="F56" s="42"/>
      <c r="G56" s="52"/>
      <c r="J56" s="17"/>
      <c r="K56" s="17"/>
      <c r="N56" s="10"/>
    </row>
    <row r="57" spans="5:14" x14ac:dyDescent="0.1">
      <c r="E57" s="30"/>
      <c r="F57" s="42"/>
      <c r="G57" s="52"/>
      <c r="J57" s="17"/>
      <c r="K57" s="17"/>
      <c r="N57" s="10"/>
    </row>
    <row r="58" spans="5:14" x14ac:dyDescent="0.1">
      <c r="E58" s="30"/>
      <c r="F58" s="42"/>
      <c r="G58" s="52"/>
      <c r="J58" s="17"/>
      <c r="K58" s="17"/>
      <c r="N58" s="10"/>
    </row>
    <row r="59" spans="5:14" x14ac:dyDescent="0.1">
      <c r="E59" s="30"/>
      <c r="F59" s="42"/>
      <c r="G59" s="52"/>
      <c r="J59" s="17"/>
      <c r="K59" s="17"/>
      <c r="N59" s="10"/>
    </row>
    <row r="60" spans="5:14" x14ac:dyDescent="0.1">
      <c r="E60" s="30"/>
      <c r="F60" s="42"/>
      <c r="G60" s="52"/>
      <c r="J60" s="17"/>
      <c r="K60" s="17"/>
      <c r="N60" s="10"/>
    </row>
    <row r="61" spans="5:14" x14ac:dyDescent="0.1">
      <c r="E61" s="30"/>
      <c r="F61" s="42"/>
      <c r="G61" s="52"/>
      <c r="J61" s="17"/>
      <c r="K61" s="17"/>
      <c r="N61" s="10"/>
    </row>
    <row r="62" spans="5:14" x14ac:dyDescent="0.1">
      <c r="E62" s="30"/>
      <c r="F62" s="42"/>
      <c r="G62" s="52"/>
      <c r="J62" s="17"/>
      <c r="K62" s="17"/>
      <c r="N62" s="10"/>
    </row>
    <row r="63" spans="5:14" x14ac:dyDescent="0.1">
      <c r="E63" s="30"/>
      <c r="F63" s="42"/>
      <c r="G63" s="52"/>
      <c r="J63" s="17"/>
      <c r="K63" s="17"/>
      <c r="N63" s="10"/>
    </row>
    <row r="64" spans="5:14" x14ac:dyDescent="0.1">
      <c r="E64" s="30"/>
      <c r="F64" s="42"/>
      <c r="G64" s="52"/>
      <c r="J64" s="17"/>
      <c r="K64" s="17"/>
      <c r="N64" s="10"/>
    </row>
    <row r="65" spans="5:14" x14ac:dyDescent="0.1">
      <c r="E65" s="30"/>
      <c r="F65" s="42"/>
      <c r="G65" s="52"/>
      <c r="J65" s="17"/>
      <c r="K65" s="17"/>
      <c r="N65" s="10"/>
    </row>
    <row r="66" spans="5:14" x14ac:dyDescent="0.1">
      <c r="E66" s="30"/>
      <c r="F66" s="42"/>
      <c r="G66" s="52"/>
      <c r="J66" s="17"/>
      <c r="K66" s="17"/>
      <c r="N66" s="10"/>
    </row>
    <row r="67" spans="5:14" x14ac:dyDescent="0.1">
      <c r="E67" s="30"/>
      <c r="F67" s="42"/>
      <c r="G67" s="52"/>
      <c r="J67" s="17"/>
      <c r="K67" s="17"/>
      <c r="N67" s="10"/>
    </row>
    <row r="68" spans="5:14" x14ac:dyDescent="0.1">
      <c r="E68" s="30"/>
      <c r="F68" s="42"/>
      <c r="G68" s="52"/>
      <c r="J68" s="17"/>
      <c r="K68" s="17"/>
      <c r="N68" s="10"/>
    </row>
    <row r="69" spans="5:14" x14ac:dyDescent="0.1">
      <c r="E69" s="30"/>
      <c r="F69" s="42"/>
      <c r="G69" s="52"/>
      <c r="J69" s="17"/>
      <c r="K69" s="17"/>
      <c r="N69" s="10"/>
    </row>
    <row r="70" spans="5:14" x14ac:dyDescent="0.1">
      <c r="E70" s="30"/>
      <c r="F70" s="42"/>
      <c r="G70" s="52"/>
      <c r="J70" s="17"/>
      <c r="K70" s="17"/>
      <c r="N70" s="10"/>
    </row>
    <row r="71" spans="5:14" x14ac:dyDescent="0.1">
      <c r="E71" s="30"/>
      <c r="F71" s="42"/>
      <c r="G71" s="52"/>
      <c r="J71" s="17"/>
      <c r="K71" s="17"/>
      <c r="N71" s="10"/>
    </row>
    <row r="72" spans="5:14" x14ac:dyDescent="0.1">
      <c r="E72" s="30"/>
      <c r="F72" s="42"/>
      <c r="G72" s="52"/>
      <c r="J72" s="17"/>
      <c r="K72" s="17"/>
      <c r="N72" s="10"/>
    </row>
    <row r="73" spans="5:14" x14ac:dyDescent="0.1">
      <c r="E73" s="30"/>
      <c r="F73" s="42"/>
      <c r="G73" s="52"/>
      <c r="J73" s="17"/>
      <c r="K73" s="17"/>
      <c r="N73" s="10"/>
    </row>
    <row r="74" spans="5:14" x14ac:dyDescent="0.1">
      <c r="E74" s="30"/>
      <c r="F74" s="42"/>
      <c r="G74" s="52"/>
      <c r="J74" s="17"/>
      <c r="K74" s="17"/>
      <c r="N74" s="10"/>
    </row>
    <row r="75" spans="5:14" x14ac:dyDescent="0.1">
      <c r="E75" s="30"/>
      <c r="F75" s="42"/>
      <c r="G75" s="52"/>
      <c r="J75" s="17"/>
      <c r="K75" s="17"/>
      <c r="N75" s="10"/>
    </row>
    <row r="76" spans="5:14" x14ac:dyDescent="0.1">
      <c r="E76" s="30"/>
      <c r="F76" s="42"/>
      <c r="G76" s="52"/>
      <c r="J76" s="17"/>
      <c r="K76" s="17"/>
      <c r="N76" s="10"/>
    </row>
    <row r="77" spans="5:14" x14ac:dyDescent="0.1">
      <c r="E77" s="30"/>
      <c r="F77" s="42"/>
      <c r="G77" s="52"/>
      <c r="J77" s="17"/>
      <c r="K77" s="17"/>
      <c r="N77" s="10"/>
    </row>
    <row r="78" spans="5:14" x14ac:dyDescent="0.1">
      <c r="E78" s="30"/>
      <c r="F78" s="42"/>
      <c r="G78" s="52"/>
      <c r="J78" s="17"/>
      <c r="K78" s="17"/>
      <c r="N78" s="10"/>
    </row>
    <row r="79" spans="5:14" x14ac:dyDescent="0.1">
      <c r="E79" s="30"/>
      <c r="F79" s="42"/>
      <c r="G79" s="52"/>
      <c r="J79" s="17"/>
      <c r="K79" s="17"/>
      <c r="N79" s="10"/>
    </row>
    <row r="80" spans="5:14" x14ac:dyDescent="0.1">
      <c r="E80" s="30"/>
      <c r="F80" s="42"/>
      <c r="G80" s="52"/>
      <c r="J80" s="17"/>
      <c r="K80" s="17"/>
      <c r="N80" s="10"/>
    </row>
    <row r="81" spans="5:14" x14ac:dyDescent="0.1">
      <c r="E81" s="30"/>
      <c r="F81" s="42"/>
      <c r="G81" s="52"/>
      <c r="J81" s="17"/>
      <c r="K81" s="17"/>
      <c r="N81" s="10"/>
    </row>
    <row r="82" spans="5:14" x14ac:dyDescent="0.1">
      <c r="E82" s="30"/>
      <c r="F82" s="42"/>
      <c r="G82" s="52"/>
      <c r="J82" s="17"/>
      <c r="K82" s="17"/>
      <c r="N82" s="10"/>
    </row>
    <row r="83" spans="5:14" x14ac:dyDescent="0.1">
      <c r="E83" s="30"/>
      <c r="F83" s="42"/>
      <c r="G83" s="52"/>
      <c r="J83" s="17"/>
      <c r="K83" s="17"/>
      <c r="N83" s="10"/>
    </row>
    <row r="84" spans="5:14" x14ac:dyDescent="0.1">
      <c r="E84" s="30"/>
      <c r="F84" s="42"/>
      <c r="G84" s="52"/>
      <c r="J84" s="17"/>
      <c r="K84" s="17"/>
      <c r="N84" s="10"/>
    </row>
    <row r="85" spans="5:14" x14ac:dyDescent="0.1">
      <c r="E85" s="30"/>
      <c r="F85" s="42"/>
      <c r="G85" s="52"/>
      <c r="J85" s="17"/>
      <c r="K85" s="17"/>
      <c r="N85" s="10"/>
    </row>
    <row r="86" spans="5:14" x14ac:dyDescent="0.1">
      <c r="E86" s="30"/>
      <c r="F86" s="42"/>
      <c r="G86" s="52"/>
      <c r="J86" s="17"/>
      <c r="K86" s="17"/>
      <c r="N86" s="10"/>
    </row>
    <row r="87" spans="5:14" x14ac:dyDescent="0.1">
      <c r="E87" s="30"/>
      <c r="F87" s="42"/>
      <c r="G87" s="52"/>
      <c r="J87" s="17"/>
      <c r="K87" s="17"/>
      <c r="N87" s="10"/>
    </row>
    <row r="88" spans="5:14" x14ac:dyDescent="0.1">
      <c r="E88" s="30"/>
      <c r="F88" s="42"/>
      <c r="G88" s="52"/>
      <c r="J88" s="17"/>
      <c r="K88" s="17"/>
      <c r="N88" s="10"/>
    </row>
    <row r="89" spans="5:14" x14ac:dyDescent="0.1">
      <c r="E89" s="30"/>
      <c r="F89" s="42"/>
      <c r="G89" s="52"/>
      <c r="J89" s="17"/>
      <c r="K89" s="17"/>
      <c r="N89" s="10"/>
    </row>
    <row r="90" spans="5:14" x14ac:dyDescent="0.1">
      <c r="E90" s="30"/>
      <c r="F90" s="42"/>
      <c r="G90" s="52"/>
      <c r="J90" s="17"/>
      <c r="K90" s="17"/>
      <c r="N90" s="10"/>
    </row>
    <row r="91" spans="5:14" x14ac:dyDescent="0.1">
      <c r="E91" s="30"/>
      <c r="F91" s="42"/>
      <c r="G91" s="52"/>
      <c r="J91" s="17"/>
      <c r="K91" s="17"/>
      <c r="N91" s="10"/>
    </row>
    <row r="92" spans="5:14" x14ac:dyDescent="0.1">
      <c r="E92" s="30"/>
      <c r="F92" s="42"/>
      <c r="G92" s="52"/>
      <c r="J92" s="17"/>
      <c r="K92" s="17"/>
      <c r="N92" s="10"/>
    </row>
    <row r="93" spans="5:14" x14ac:dyDescent="0.1">
      <c r="E93" s="30"/>
      <c r="F93" s="42"/>
      <c r="G93" s="52"/>
      <c r="J93" s="17"/>
      <c r="K93" s="17"/>
      <c r="N93" s="10"/>
    </row>
    <row r="94" spans="5:14" x14ac:dyDescent="0.1">
      <c r="E94" s="30"/>
      <c r="F94" s="42"/>
      <c r="G94" s="52"/>
      <c r="J94" s="17"/>
      <c r="K94" s="17"/>
      <c r="N94" s="10"/>
    </row>
    <row r="95" spans="5:14" x14ac:dyDescent="0.1">
      <c r="E95" s="30"/>
      <c r="F95" s="42"/>
      <c r="G95" s="52"/>
      <c r="J95" s="17"/>
      <c r="K95" s="17"/>
      <c r="N95" s="10"/>
    </row>
    <row r="96" spans="5:14" x14ac:dyDescent="0.1">
      <c r="E96" s="30"/>
      <c r="F96" s="42"/>
      <c r="G96" s="52"/>
      <c r="J96" s="17"/>
      <c r="K96" s="17"/>
      <c r="N96" s="10"/>
    </row>
    <row r="97" spans="5:14" x14ac:dyDescent="0.1">
      <c r="E97" s="30"/>
      <c r="F97" s="42"/>
      <c r="G97" s="52"/>
      <c r="J97" s="17"/>
      <c r="K97" s="17"/>
      <c r="N97" s="10"/>
    </row>
    <row r="98" spans="5:14" x14ac:dyDescent="0.1">
      <c r="E98" s="30"/>
      <c r="F98" s="42"/>
      <c r="G98" s="52"/>
      <c r="J98" s="17"/>
      <c r="K98" s="17"/>
      <c r="N98" s="10"/>
    </row>
    <row r="99" spans="5:14" x14ac:dyDescent="0.1">
      <c r="E99" s="30"/>
      <c r="F99" s="42"/>
      <c r="G99" s="52"/>
      <c r="J99" s="17"/>
      <c r="K99" s="17"/>
      <c r="N99" s="10"/>
    </row>
    <row r="100" spans="5:14" x14ac:dyDescent="0.1">
      <c r="E100" s="30"/>
      <c r="F100" s="42"/>
      <c r="G100" s="52"/>
      <c r="J100" s="17"/>
      <c r="K100" s="17"/>
      <c r="N100" s="10"/>
    </row>
    <row r="101" spans="5:14" x14ac:dyDescent="0.1">
      <c r="E101" s="30"/>
      <c r="F101" s="42"/>
      <c r="G101" s="52"/>
      <c r="J101" s="17"/>
      <c r="K101" s="17"/>
      <c r="N101" s="10"/>
    </row>
    <row r="102" spans="5:14" x14ac:dyDescent="0.1">
      <c r="E102" s="30"/>
      <c r="F102" s="42"/>
      <c r="G102" s="52"/>
      <c r="J102" s="17"/>
      <c r="K102" s="17"/>
      <c r="N102" s="10"/>
    </row>
    <row r="103" spans="5:14" x14ac:dyDescent="0.1">
      <c r="E103" s="30"/>
      <c r="F103" s="42"/>
      <c r="G103" s="52"/>
      <c r="J103" s="17"/>
      <c r="K103" s="17"/>
      <c r="N103" s="10"/>
    </row>
    <row r="104" spans="5:14" x14ac:dyDescent="0.1">
      <c r="E104" s="30"/>
      <c r="F104" s="42"/>
      <c r="G104" s="52"/>
      <c r="J104" s="17"/>
      <c r="K104" s="17"/>
      <c r="N104" s="10"/>
    </row>
    <row r="105" spans="5:14" x14ac:dyDescent="0.1">
      <c r="E105" s="30"/>
      <c r="F105" s="42"/>
      <c r="G105" s="52"/>
      <c r="J105" s="17"/>
      <c r="K105" s="17"/>
      <c r="N105" s="10"/>
    </row>
    <row r="106" spans="5:14" x14ac:dyDescent="0.1">
      <c r="E106" s="30"/>
      <c r="F106" s="42"/>
      <c r="G106" s="52"/>
      <c r="J106" s="17"/>
      <c r="K106" s="17"/>
      <c r="N106" s="10"/>
    </row>
    <row r="107" spans="5:14" x14ac:dyDescent="0.1">
      <c r="E107" s="30"/>
      <c r="F107" s="42"/>
      <c r="G107" s="52"/>
      <c r="J107" s="17"/>
      <c r="K107" s="17"/>
      <c r="N107" s="10"/>
    </row>
    <row r="108" spans="5:14" x14ac:dyDescent="0.1">
      <c r="E108" s="30"/>
      <c r="F108" s="42"/>
      <c r="G108" s="52"/>
      <c r="J108" s="17"/>
      <c r="K108" s="17"/>
      <c r="N108" s="10"/>
    </row>
    <row r="109" spans="5:14" x14ac:dyDescent="0.1">
      <c r="E109" s="30"/>
      <c r="F109" s="42"/>
      <c r="G109" s="52"/>
      <c r="J109" s="17"/>
      <c r="K109" s="17"/>
      <c r="N109" s="10"/>
    </row>
    <row r="110" spans="5:14" x14ac:dyDescent="0.1">
      <c r="E110" s="30"/>
      <c r="F110" s="42"/>
      <c r="G110" s="52"/>
      <c r="J110" s="17"/>
      <c r="K110" s="17"/>
      <c r="N110" s="10"/>
    </row>
    <row r="111" spans="5:14" x14ac:dyDescent="0.2">
      <c r="E111" s="10"/>
      <c r="F111" s="53"/>
      <c r="G111" s="35"/>
      <c r="J111" s="17"/>
      <c r="K111" s="17"/>
      <c r="N111" s="10"/>
    </row>
    <row r="112" spans="5:14" x14ac:dyDescent="0.2">
      <c r="E112" s="10"/>
      <c r="F112" s="53"/>
      <c r="G112" s="35"/>
      <c r="J112" s="17"/>
      <c r="K112" s="17"/>
      <c r="N112" s="10"/>
    </row>
    <row r="113" spans="5:14" x14ac:dyDescent="0.2">
      <c r="E113" s="10"/>
      <c r="F113" s="53"/>
      <c r="G113" s="35"/>
      <c r="J113" s="17"/>
      <c r="K113" s="17"/>
      <c r="N113" s="10"/>
    </row>
    <row r="114" spans="5:14" x14ac:dyDescent="0.2">
      <c r="E114" s="10"/>
      <c r="F114" s="53"/>
      <c r="G114" s="35"/>
      <c r="J114" s="17"/>
      <c r="K114" s="17"/>
      <c r="N114" s="10"/>
    </row>
    <row r="115" spans="5:14" x14ac:dyDescent="0.2">
      <c r="E115" s="10"/>
      <c r="F115" s="53"/>
      <c r="G115" s="35"/>
      <c r="J115" s="17"/>
      <c r="K115" s="17"/>
      <c r="N115" s="10"/>
    </row>
    <row r="116" spans="5:14" x14ac:dyDescent="0.2">
      <c r="E116" s="10"/>
      <c r="F116" s="53"/>
      <c r="G116" s="35"/>
      <c r="J116" s="17"/>
      <c r="K116" s="17"/>
      <c r="N116" s="10"/>
    </row>
    <row r="117" spans="5:14" x14ac:dyDescent="0.2">
      <c r="E117" s="10"/>
      <c r="F117" s="53"/>
      <c r="G117" s="35"/>
      <c r="J117" s="17"/>
      <c r="K117" s="17"/>
      <c r="N117" s="10"/>
    </row>
    <row r="118" spans="5:14" x14ac:dyDescent="0.2">
      <c r="E118" s="10"/>
      <c r="F118" s="53"/>
      <c r="G118" s="35"/>
      <c r="J118" s="17"/>
      <c r="K118" s="17"/>
      <c r="N118" s="10"/>
    </row>
    <row r="119" spans="5:14" x14ac:dyDescent="0.2">
      <c r="E119" s="10"/>
      <c r="F119" s="53"/>
      <c r="G119" s="35"/>
      <c r="J119" s="17"/>
      <c r="K119" s="17"/>
      <c r="N119" s="10"/>
    </row>
    <row r="120" spans="5:14" x14ac:dyDescent="0.2">
      <c r="E120" s="10"/>
      <c r="F120" s="53"/>
      <c r="G120" s="35"/>
      <c r="J120" s="17"/>
      <c r="K120" s="17"/>
      <c r="N120" s="10"/>
    </row>
    <row r="121" spans="5:14" x14ac:dyDescent="0.2">
      <c r="E121" s="10"/>
      <c r="F121" s="53"/>
      <c r="G121" s="35"/>
      <c r="J121" s="17"/>
      <c r="K121" s="17"/>
      <c r="N121" s="10"/>
    </row>
    <row r="122" spans="5:14" x14ac:dyDescent="0.2">
      <c r="E122" s="10"/>
      <c r="F122" s="53"/>
      <c r="G122" s="35"/>
      <c r="J122" s="17"/>
      <c r="K122" s="17"/>
      <c r="N122" s="10"/>
    </row>
    <row r="123" spans="5:14" x14ac:dyDescent="0.2">
      <c r="E123" s="10"/>
      <c r="F123" s="53"/>
      <c r="G123" s="35"/>
      <c r="J123" s="17"/>
      <c r="K123" s="17"/>
      <c r="N123" s="10"/>
    </row>
    <row r="124" spans="5:14" x14ac:dyDescent="0.2">
      <c r="E124" s="10"/>
      <c r="F124" s="53"/>
      <c r="G124" s="35"/>
      <c r="J124" s="17"/>
      <c r="K124" s="17"/>
      <c r="N124" s="10"/>
    </row>
    <row r="125" spans="5:14" x14ac:dyDescent="0.2">
      <c r="E125" s="10"/>
      <c r="F125" s="53"/>
      <c r="G125" s="35"/>
      <c r="J125" s="17"/>
      <c r="K125" s="17"/>
      <c r="N125" s="10"/>
    </row>
    <row r="126" spans="5:14" x14ac:dyDescent="0.2">
      <c r="E126" s="10"/>
      <c r="F126" s="53"/>
      <c r="G126" s="35"/>
      <c r="J126" s="17"/>
      <c r="K126" s="17"/>
      <c r="N126" s="10"/>
    </row>
    <row r="127" spans="5:14" x14ac:dyDescent="0.2">
      <c r="E127" s="10"/>
      <c r="F127" s="53"/>
      <c r="G127" s="35"/>
      <c r="J127" s="17"/>
      <c r="K127" s="17"/>
      <c r="N127" s="10"/>
    </row>
    <row r="128" spans="5:14" x14ac:dyDescent="0.2">
      <c r="E128" s="10"/>
      <c r="F128" s="53"/>
      <c r="G128" s="35"/>
      <c r="J128" s="17"/>
      <c r="K128" s="17"/>
      <c r="N128" s="10"/>
    </row>
    <row r="129" spans="5:14" x14ac:dyDescent="0.2">
      <c r="E129" s="10"/>
      <c r="F129" s="53"/>
      <c r="G129" s="35"/>
      <c r="J129" s="17"/>
      <c r="K129" s="17"/>
      <c r="N129" s="10"/>
    </row>
    <row r="130" spans="5:14" x14ac:dyDescent="0.2">
      <c r="E130" s="10"/>
      <c r="F130" s="53"/>
      <c r="G130" s="35"/>
      <c r="J130" s="17"/>
      <c r="K130" s="17"/>
      <c r="N130" s="10"/>
    </row>
    <row r="131" spans="5:14" x14ac:dyDescent="0.2">
      <c r="E131" s="10"/>
      <c r="F131" s="53"/>
      <c r="G131" s="35"/>
      <c r="J131" s="17"/>
      <c r="K131" s="17"/>
      <c r="N131" s="10"/>
    </row>
    <row r="132" spans="5:14" x14ac:dyDescent="0.2">
      <c r="E132" s="10"/>
      <c r="F132" s="53"/>
      <c r="G132" s="35"/>
      <c r="J132" s="17"/>
      <c r="K132" s="17"/>
      <c r="N132" s="10"/>
    </row>
    <row r="133" spans="5:14" x14ac:dyDescent="0.2">
      <c r="E133" s="10"/>
      <c r="F133" s="53"/>
      <c r="G133" s="35"/>
      <c r="J133" s="17"/>
      <c r="K133" s="17"/>
      <c r="N133" s="10"/>
    </row>
    <row r="134" spans="5:14" x14ac:dyDescent="0.2">
      <c r="E134" s="10"/>
      <c r="F134" s="53"/>
      <c r="G134" s="35"/>
      <c r="J134" s="17"/>
      <c r="K134" s="17"/>
      <c r="N134" s="10"/>
    </row>
    <row r="135" spans="5:14" x14ac:dyDescent="0.2">
      <c r="E135" s="10"/>
      <c r="F135" s="53"/>
      <c r="G135" s="35"/>
      <c r="J135" s="17"/>
      <c r="K135" s="17"/>
      <c r="N135" s="10"/>
    </row>
    <row r="136" spans="5:14" x14ac:dyDescent="0.2">
      <c r="E136" s="10"/>
      <c r="F136" s="53"/>
      <c r="G136" s="35"/>
      <c r="J136" s="17"/>
      <c r="K136" s="17"/>
      <c r="N136" s="10"/>
    </row>
    <row r="137" spans="5:14" x14ac:dyDescent="0.2">
      <c r="E137" s="10"/>
      <c r="F137" s="53"/>
      <c r="G137" s="35"/>
      <c r="J137" s="17"/>
      <c r="K137" s="17"/>
      <c r="N137" s="10"/>
    </row>
    <row r="138" spans="5:14" x14ac:dyDescent="0.2">
      <c r="E138" s="10"/>
      <c r="F138" s="53"/>
      <c r="G138" s="35"/>
      <c r="J138" s="17"/>
      <c r="K138" s="17"/>
      <c r="N138" s="10"/>
    </row>
    <row r="139" spans="5:14" x14ac:dyDescent="0.2">
      <c r="E139" s="10"/>
      <c r="F139" s="53"/>
      <c r="G139" s="35"/>
      <c r="J139" s="17"/>
      <c r="K139" s="17"/>
      <c r="N139" s="10"/>
    </row>
    <row r="140" spans="5:14" x14ac:dyDescent="0.2">
      <c r="E140" s="10"/>
      <c r="F140" s="53"/>
      <c r="G140" s="35"/>
      <c r="J140" s="17"/>
      <c r="K140" s="17"/>
      <c r="N140" s="10"/>
    </row>
    <row r="141" spans="5:14" x14ac:dyDescent="0.2">
      <c r="E141" s="10"/>
      <c r="F141" s="53"/>
      <c r="G141" s="35"/>
      <c r="J141" s="17"/>
      <c r="K141" s="17"/>
      <c r="N141" s="10"/>
    </row>
    <row r="142" spans="5:14" x14ac:dyDescent="0.2">
      <c r="E142" s="10"/>
      <c r="F142" s="53"/>
      <c r="G142" s="35"/>
      <c r="J142" s="17"/>
      <c r="K142" s="17"/>
      <c r="N142" s="10"/>
    </row>
    <row r="143" spans="5:14" x14ac:dyDescent="0.2">
      <c r="E143" s="10"/>
      <c r="F143" s="53"/>
      <c r="G143" s="35"/>
      <c r="J143" s="17"/>
      <c r="K143" s="17"/>
      <c r="N143" s="10"/>
    </row>
    <row r="144" spans="5:14" x14ac:dyDescent="0.2">
      <c r="E144" s="10"/>
      <c r="F144" s="53"/>
      <c r="G144" s="35"/>
      <c r="J144" s="17"/>
      <c r="K144" s="17"/>
      <c r="N144" s="10"/>
    </row>
    <row r="145" spans="5:14" x14ac:dyDescent="0.2">
      <c r="E145" s="10"/>
      <c r="F145" s="53"/>
      <c r="G145" s="35"/>
      <c r="J145" s="17"/>
      <c r="K145" s="17"/>
      <c r="N145" s="10"/>
    </row>
    <row r="146" spans="5:14" x14ac:dyDescent="0.2">
      <c r="E146" s="10"/>
      <c r="F146" s="53"/>
      <c r="G146" s="35"/>
      <c r="J146" s="17"/>
      <c r="K146" s="17"/>
      <c r="N146" s="10"/>
    </row>
    <row r="147" spans="5:14" x14ac:dyDescent="0.2">
      <c r="E147" s="10"/>
      <c r="F147" s="53"/>
      <c r="G147" s="35"/>
      <c r="J147" s="17"/>
      <c r="K147" s="17"/>
      <c r="N147" s="10"/>
    </row>
    <row r="148" spans="5:14" x14ac:dyDescent="0.2">
      <c r="E148" s="10"/>
      <c r="F148" s="53"/>
      <c r="G148" s="35"/>
      <c r="J148" s="17"/>
      <c r="K148" s="17"/>
      <c r="N148" s="10"/>
    </row>
    <row r="149" spans="5:14" x14ac:dyDescent="0.2">
      <c r="E149" s="10"/>
      <c r="F149" s="53"/>
      <c r="G149" s="35"/>
      <c r="J149" s="17"/>
      <c r="K149" s="17"/>
      <c r="N149" s="10"/>
    </row>
    <row r="150" spans="5:14" x14ac:dyDescent="0.2">
      <c r="E150" s="10"/>
      <c r="F150" s="53"/>
      <c r="G150" s="35"/>
      <c r="J150" s="17"/>
      <c r="K150" s="17"/>
      <c r="N150" s="10"/>
    </row>
    <row r="151" spans="5:14" x14ac:dyDescent="0.2">
      <c r="E151" s="45"/>
      <c r="F151" s="53"/>
      <c r="G151" s="35"/>
      <c r="J151" s="17"/>
      <c r="K151" s="17"/>
      <c r="N151" s="10"/>
    </row>
    <row r="152" spans="5:14" x14ac:dyDescent="0.2">
      <c r="E152" s="45"/>
      <c r="F152" s="53"/>
      <c r="G152" s="35"/>
      <c r="J152" s="17"/>
      <c r="K152" s="17"/>
      <c r="N152" s="10"/>
    </row>
    <row r="153" spans="5:14" x14ac:dyDescent="0.2">
      <c r="E153" s="10"/>
      <c r="F153" s="53"/>
      <c r="G153" s="35"/>
      <c r="J153" s="17"/>
      <c r="K153" s="17"/>
      <c r="N153" s="10"/>
    </row>
    <row r="154" spans="5:14" x14ac:dyDescent="0.2">
      <c r="E154" s="10"/>
      <c r="F154" s="53"/>
      <c r="G154" s="35"/>
      <c r="J154" s="17"/>
      <c r="K154" s="17"/>
      <c r="N154" s="10"/>
    </row>
    <row r="155" spans="5:14" x14ac:dyDescent="0.2">
      <c r="E155" s="10"/>
      <c r="F155" s="53"/>
      <c r="G155" s="35"/>
      <c r="J155" s="17"/>
      <c r="K155" s="17"/>
      <c r="N155" s="10"/>
    </row>
    <row r="156" spans="5:14" x14ac:dyDescent="0.2">
      <c r="E156" s="10"/>
      <c r="F156" s="53"/>
      <c r="G156" s="35"/>
      <c r="J156" s="17"/>
      <c r="K156" s="17"/>
      <c r="N156" s="10"/>
    </row>
    <row r="157" spans="5:14" x14ac:dyDescent="0.2">
      <c r="E157" s="10"/>
      <c r="F157" s="53"/>
      <c r="G157" s="35"/>
      <c r="J157" s="17"/>
      <c r="K157" s="17"/>
      <c r="N157" s="10"/>
    </row>
    <row r="158" spans="5:14" x14ac:dyDescent="0.2">
      <c r="E158" s="10"/>
      <c r="F158" s="53"/>
      <c r="G158" s="35"/>
      <c r="J158" s="17"/>
      <c r="K158" s="17"/>
      <c r="N158" s="10"/>
    </row>
    <row r="159" spans="5:14" x14ac:dyDescent="0.2">
      <c r="E159" s="10"/>
      <c r="F159" s="53"/>
      <c r="G159" s="35"/>
      <c r="J159" s="17"/>
      <c r="K159" s="17"/>
      <c r="N159" s="10"/>
    </row>
    <row r="160" spans="5:14" x14ac:dyDescent="0.2">
      <c r="E160" s="10"/>
      <c r="F160" s="53"/>
      <c r="G160" s="35"/>
      <c r="J160" s="17"/>
      <c r="K160" s="17"/>
      <c r="N160" s="10"/>
    </row>
    <row r="161" spans="5:14" x14ac:dyDescent="0.2">
      <c r="E161" s="10"/>
      <c r="F161" s="53"/>
      <c r="G161" s="35"/>
      <c r="J161" s="17"/>
      <c r="K161" s="17"/>
      <c r="N161" s="10"/>
    </row>
    <row r="162" spans="5:14" x14ac:dyDescent="0.2">
      <c r="E162" s="10"/>
      <c r="F162" s="53"/>
      <c r="G162" s="35"/>
      <c r="J162" s="17"/>
      <c r="K162" s="17"/>
      <c r="N162" s="10"/>
    </row>
    <row r="163" spans="5:14" x14ac:dyDescent="0.2">
      <c r="E163" s="10"/>
      <c r="F163" s="53"/>
      <c r="G163" s="9"/>
      <c r="J163" s="17"/>
      <c r="K163" s="17"/>
      <c r="N163" s="10"/>
    </row>
    <row r="164" spans="5:14" x14ac:dyDescent="0.2">
      <c r="E164" s="10"/>
      <c r="F164" s="53"/>
      <c r="G164" s="9"/>
      <c r="J164" s="17"/>
      <c r="K164" s="17"/>
      <c r="N164" s="10"/>
    </row>
    <row r="165" spans="5:14" x14ac:dyDescent="0.2">
      <c r="E165" s="10"/>
      <c r="F165" s="53"/>
      <c r="G165" s="9"/>
      <c r="J165" s="17"/>
      <c r="K165" s="17"/>
      <c r="N165" s="10"/>
    </row>
    <row r="166" spans="5:14" x14ac:dyDescent="0.2">
      <c r="E166" s="10"/>
      <c r="F166" s="53"/>
      <c r="G166" s="9"/>
      <c r="J166" s="17"/>
      <c r="K166" s="17"/>
      <c r="N166" s="10"/>
    </row>
    <row r="167" spans="5:14" x14ac:dyDescent="0.2">
      <c r="E167" s="10"/>
      <c r="F167" s="53"/>
      <c r="G167" s="9"/>
      <c r="J167" s="17"/>
      <c r="K167" s="17"/>
      <c r="N167" s="10"/>
    </row>
    <row r="168" spans="5:14" x14ac:dyDescent="0.2">
      <c r="E168" s="10"/>
      <c r="F168" s="53"/>
      <c r="G168" s="9"/>
      <c r="J168" s="17"/>
      <c r="K168" s="17"/>
      <c r="N168" s="10"/>
    </row>
    <row r="169" spans="5:14" x14ac:dyDescent="0.2">
      <c r="E169" s="10"/>
      <c r="F169" s="53"/>
      <c r="G169" s="9"/>
      <c r="J169" s="17"/>
      <c r="K169" s="17"/>
      <c r="N169" s="10"/>
    </row>
    <row r="170" spans="5:14" x14ac:dyDescent="0.2">
      <c r="E170" s="10"/>
      <c r="F170" s="53"/>
      <c r="G170" s="9"/>
      <c r="J170" s="17"/>
      <c r="K170" s="17"/>
      <c r="N170" s="10"/>
    </row>
    <row r="171" spans="5:14" x14ac:dyDescent="0.2">
      <c r="E171" s="10"/>
      <c r="F171" s="53"/>
      <c r="G171" s="9"/>
      <c r="J171" s="17"/>
      <c r="K171" s="17"/>
      <c r="N171" s="10"/>
    </row>
    <row r="172" spans="5:14" x14ac:dyDescent="0.2">
      <c r="E172" s="10"/>
      <c r="F172" s="53"/>
      <c r="G172" s="9"/>
      <c r="J172" s="17"/>
      <c r="K172" s="17"/>
      <c r="N172" s="10"/>
    </row>
    <row r="173" spans="5:14" x14ac:dyDescent="0.2">
      <c r="E173" s="10"/>
      <c r="F173" s="53"/>
      <c r="G173" s="9"/>
      <c r="J173" s="17"/>
      <c r="K173" s="17"/>
      <c r="N173" s="10"/>
    </row>
    <row r="174" spans="5:14" x14ac:dyDescent="0.2">
      <c r="E174" s="10"/>
      <c r="F174" s="53"/>
      <c r="G174" s="9"/>
      <c r="J174" s="17"/>
      <c r="K174" s="17"/>
      <c r="N174" s="10"/>
    </row>
    <row r="175" spans="5:14" x14ac:dyDescent="0.2">
      <c r="E175" s="10"/>
      <c r="F175" s="53"/>
      <c r="G175" s="9"/>
      <c r="J175" s="17"/>
      <c r="K175" s="17"/>
      <c r="N175" s="10"/>
    </row>
    <row r="176" spans="5:14" x14ac:dyDescent="0.2">
      <c r="E176" s="10"/>
      <c r="F176" s="53"/>
      <c r="G176" s="9"/>
      <c r="J176" s="17"/>
      <c r="K176" s="17"/>
      <c r="N176" s="10"/>
    </row>
    <row r="177" spans="5:14" x14ac:dyDescent="0.2">
      <c r="E177" s="10"/>
      <c r="F177" s="53"/>
      <c r="G177" s="9"/>
      <c r="J177" s="17"/>
      <c r="K177" s="17"/>
      <c r="N177" s="10"/>
    </row>
    <row r="178" spans="5:14" x14ac:dyDescent="0.2">
      <c r="E178" s="10"/>
      <c r="F178" s="53"/>
      <c r="G178" s="9"/>
      <c r="J178" s="17"/>
      <c r="K178" s="17"/>
      <c r="N178" s="10"/>
    </row>
    <row r="179" spans="5:14" x14ac:dyDescent="0.2">
      <c r="E179" s="10"/>
      <c r="F179" s="53"/>
      <c r="G179" s="9"/>
      <c r="J179" s="17"/>
      <c r="K179" s="17"/>
      <c r="N179" s="10"/>
    </row>
    <row r="180" spans="5:14" x14ac:dyDescent="0.2">
      <c r="E180" s="10"/>
      <c r="F180" s="53"/>
      <c r="G180" s="9"/>
      <c r="J180" s="17"/>
      <c r="K180" s="17"/>
      <c r="N180" s="10"/>
    </row>
    <row r="181" spans="5:14" x14ac:dyDescent="0.2">
      <c r="E181" s="10"/>
      <c r="F181" s="53"/>
      <c r="G181" s="9"/>
      <c r="J181" s="17"/>
      <c r="K181" s="17"/>
      <c r="N181" s="10"/>
    </row>
    <row r="182" spans="5:14" x14ac:dyDescent="0.2">
      <c r="E182" s="10"/>
      <c r="F182" s="53"/>
      <c r="G182" s="9"/>
      <c r="J182" s="17"/>
      <c r="K182" s="17"/>
      <c r="N182" s="10"/>
    </row>
    <row r="183" spans="5:14" x14ac:dyDescent="0.2">
      <c r="E183" s="10"/>
      <c r="F183" s="53"/>
      <c r="G183" s="9"/>
      <c r="J183" s="17"/>
      <c r="K183" s="17"/>
      <c r="N183" s="10"/>
    </row>
    <row r="184" spans="5:14" x14ac:dyDescent="0.2">
      <c r="E184" s="10"/>
      <c r="F184" s="53"/>
      <c r="G184" s="9"/>
      <c r="J184" s="17"/>
      <c r="K184" s="17"/>
      <c r="N184" s="10"/>
    </row>
    <row r="185" spans="5:14" x14ac:dyDescent="0.2">
      <c r="E185" s="10"/>
      <c r="F185" s="53"/>
      <c r="G185" s="9"/>
      <c r="J185" s="17"/>
      <c r="K185" s="17"/>
      <c r="N185" s="10"/>
    </row>
    <row r="186" spans="5:14" x14ac:dyDescent="0.2">
      <c r="E186" s="10"/>
      <c r="F186" s="53"/>
      <c r="G186" s="9"/>
      <c r="J186" s="17"/>
      <c r="K186" s="17"/>
      <c r="N186" s="10"/>
    </row>
    <row r="187" spans="5:14" x14ac:dyDescent="0.2">
      <c r="E187" s="10"/>
      <c r="F187" s="53"/>
      <c r="G187" s="9"/>
      <c r="J187" s="17"/>
      <c r="K187" s="17"/>
      <c r="N187" s="10"/>
    </row>
    <row r="188" spans="5:14" x14ac:dyDescent="0.2">
      <c r="E188" s="10"/>
      <c r="F188" s="53"/>
      <c r="G188" s="9"/>
      <c r="J188" s="17"/>
      <c r="K188" s="17"/>
      <c r="N188" s="10"/>
    </row>
    <row r="189" spans="5:14" x14ac:dyDescent="0.2">
      <c r="E189" s="10"/>
      <c r="F189" s="53"/>
      <c r="G189" s="9"/>
      <c r="J189" s="17"/>
      <c r="K189" s="17"/>
      <c r="N189" s="10"/>
    </row>
    <row r="190" spans="5:14" x14ac:dyDescent="0.2">
      <c r="E190" s="10"/>
      <c r="F190" s="53"/>
      <c r="G190" s="9"/>
      <c r="J190" s="17"/>
      <c r="K190" s="17"/>
      <c r="N190" s="10"/>
    </row>
    <row r="191" spans="5:14" x14ac:dyDescent="0.2">
      <c r="E191" s="10"/>
      <c r="F191" s="53"/>
      <c r="G191" s="9"/>
      <c r="J191" s="17"/>
      <c r="K191" s="17"/>
      <c r="N191" s="10"/>
    </row>
    <row r="192" spans="5:14" x14ac:dyDescent="0.2">
      <c r="E192" s="10"/>
      <c r="F192" s="53"/>
      <c r="G192" s="9"/>
      <c r="J192" s="17"/>
      <c r="K192" s="17"/>
      <c r="N192" s="10"/>
    </row>
    <row r="193" spans="5:14" x14ac:dyDescent="0.2">
      <c r="E193" s="10"/>
      <c r="F193" s="53"/>
      <c r="G193" s="9"/>
      <c r="J193" s="17"/>
      <c r="K193" s="17"/>
      <c r="N193" s="10"/>
    </row>
    <row r="194" spans="5:14" x14ac:dyDescent="0.2">
      <c r="E194" s="10"/>
      <c r="F194" s="53"/>
      <c r="G194" s="9"/>
      <c r="J194" s="17"/>
      <c r="K194" s="17"/>
      <c r="N194" s="10"/>
    </row>
    <row r="195" spans="5:14" x14ac:dyDescent="0.2">
      <c r="E195" s="10"/>
      <c r="F195" s="53"/>
      <c r="G195" s="9"/>
      <c r="J195" s="17"/>
      <c r="K195" s="17"/>
      <c r="N195" s="10"/>
    </row>
    <row r="196" spans="5:14" x14ac:dyDescent="0.2">
      <c r="E196" s="10"/>
      <c r="F196" s="53"/>
      <c r="G196" s="9"/>
      <c r="J196" s="17"/>
      <c r="K196" s="17"/>
      <c r="N196" s="10"/>
    </row>
    <row r="197" spans="5:14" x14ac:dyDescent="0.2">
      <c r="E197" s="10"/>
      <c r="F197" s="53"/>
      <c r="G197" s="9"/>
      <c r="J197" s="17"/>
      <c r="K197" s="17"/>
      <c r="N197" s="10"/>
    </row>
    <row r="198" spans="5:14" x14ac:dyDescent="0.2">
      <c r="E198" s="10"/>
      <c r="F198" s="53"/>
      <c r="G198" s="9"/>
      <c r="J198" s="17"/>
      <c r="K198" s="17"/>
      <c r="N198" s="10"/>
    </row>
    <row r="199" spans="5:14" x14ac:dyDescent="0.2">
      <c r="E199" s="10"/>
      <c r="F199" s="53"/>
      <c r="G199" s="9"/>
      <c r="J199" s="17"/>
      <c r="K199" s="17"/>
      <c r="N199" s="10"/>
    </row>
    <row r="200" spans="5:14" x14ac:dyDescent="0.2">
      <c r="E200" s="10"/>
      <c r="F200" s="53"/>
      <c r="G200" s="9"/>
      <c r="J200" s="17"/>
      <c r="K200" s="17"/>
      <c r="N200" s="10"/>
    </row>
    <row r="201" spans="5:14" x14ac:dyDescent="0.2">
      <c r="E201" s="10"/>
      <c r="F201" s="53"/>
      <c r="G201" s="9"/>
      <c r="J201" s="17"/>
      <c r="K201" s="17"/>
      <c r="N201" s="10"/>
    </row>
    <row r="202" spans="5:14" x14ac:dyDescent="0.2">
      <c r="E202" s="10"/>
      <c r="F202" s="53"/>
      <c r="G202" s="9"/>
      <c r="J202" s="17"/>
      <c r="K202" s="17"/>
      <c r="N202" s="10"/>
    </row>
    <row r="203" spans="5:14" x14ac:dyDescent="0.2">
      <c r="E203" s="10"/>
      <c r="F203" s="53"/>
      <c r="G203" s="9"/>
      <c r="J203" s="17"/>
      <c r="K203" s="17"/>
      <c r="N203" s="10"/>
    </row>
    <row r="204" spans="5:14" x14ac:dyDescent="0.2">
      <c r="E204" s="10"/>
      <c r="F204" s="53"/>
      <c r="G204" s="9"/>
      <c r="J204" s="17"/>
      <c r="K204" s="17"/>
      <c r="N204" s="10"/>
    </row>
    <row r="205" spans="5:14" x14ac:dyDescent="0.2">
      <c r="E205" s="10"/>
      <c r="F205" s="53"/>
      <c r="G205" s="9"/>
      <c r="J205" s="17"/>
      <c r="K205" s="17"/>
      <c r="N205" s="10"/>
    </row>
    <row r="206" spans="5:14" x14ac:dyDescent="0.2">
      <c r="E206" s="10"/>
      <c r="F206" s="53"/>
      <c r="G206" s="9"/>
      <c r="J206" s="17"/>
      <c r="K206" s="17"/>
      <c r="N206" s="10"/>
    </row>
    <row r="207" spans="5:14" x14ac:dyDescent="0.2">
      <c r="E207" s="10"/>
      <c r="F207" s="53"/>
      <c r="G207" s="9"/>
      <c r="J207" s="17"/>
      <c r="K207" s="17"/>
      <c r="N207" s="10"/>
    </row>
    <row r="208" spans="5:14" x14ac:dyDescent="0.2">
      <c r="E208" s="10"/>
      <c r="F208" s="53"/>
      <c r="G208" s="9"/>
      <c r="J208" s="17"/>
      <c r="K208" s="17"/>
      <c r="N208" s="10"/>
    </row>
    <row r="209" spans="5:14" x14ac:dyDescent="0.2">
      <c r="E209" s="10"/>
      <c r="F209" s="53"/>
      <c r="G209" s="9"/>
      <c r="J209" s="17"/>
      <c r="K209" s="17"/>
      <c r="N209" s="10"/>
    </row>
    <row r="210" spans="5:14" x14ac:dyDescent="0.2">
      <c r="E210" s="10"/>
      <c r="F210" s="53"/>
      <c r="G210" s="9"/>
      <c r="J210" s="17"/>
      <c r="K210" s="17"/>
      <c r="N210" s="10"/>
    </row>
    <row r="211" spans="5:14" x14ac:dyDescent="0.2">
      <c r="E211" s="10"/>
      <c r="F211" s="53"/>
      <c r="G211" s="9"/>
      <c r="J211" s="17"/>
      <c r="K211" s="17"/>
      <c r="N211" s="10"/>
    </row>
    <row r="212" spans="5:14" x14ac:dyDescent="0.2">
      <c r="E212" s="10"/>
      <c r="F212" s="53"/>
      <c r="G212" s="9"/>
      <c r="J212" s="17"/>
      <c r="K212" s="17"/>
      <c r="N212" s="10"/>
    </row>
    <row r="213" spans="5:14" x14ac:dyDescent="0.2">
      <c r="E213" s="10"/>
      <c r="F213" s="53"/>
      <c r="G213" s="9"/>
      <c r="J213" s="17"/>
      <c r="K213" s="17"/>
      <c r="N213" s="10"/>
    </row>
    <row r="214" spans="5:14" x14ac:dyDescent="0.2">
      <c r="E214" s="10"/>
      <c r="F214" s="53"/>
      <c r="G214" s="9"/>
      <c r="J214" s="17"/>
      <c r="K214" s="17"/>
      <c r="N214" s="10"/>
    </row>
    <row r="215" spans="5:14" x14ac:dyDescent="0.2">
      <c r="E215" s="10"/>
      <c r="F215" s="53"/>
      <c r="G215" s="9"/>
      <c r="J215" s="17"/>
      <c r="K215" s="17"/>
      <c r="N215" s="10"/>
    </row>
    <row r="216" spans="5:14" x14ac:dyDescent="0.2">
      <c r="E216" s="10"/>
      <c r="F216" s="53"/>
      <c r="G216" s="9"/>
      <c r="J216" s="17"/>
      <c r="K216" s="17"/>
      <c r="N216" s="10"/>
    </row>
    <row r="217" spans="5:14" x14ac:dyDescent="0.2">
      <c r="E217" s="10"/>
      <c r="F217" s="53"/>
      <c r="G217" s="9"/>
      <c r="J217" s="17"/>
      <c r="K217" s="17"/>
      <c r="N217" s="10"/>
    </row>
    <row r="218" spans="5:14" x14ac:dyDescent="0.2">
      <c r="E218" s="10"/>
      <c r="F218" s="53"/>
      <c r="G218" s="9"/>
      <c r="J218" s="17"/>
      <c r="K218" s="17"/>
      <c r="N218" s="10"/>
    </row>
    <row r="219" spans="5:14" x14ac:dyDescent="0.2">
      <c r="E219" s="10"/>
      <c r="F219" s="53"/>
      <c r="G219" s="9"/>
      <c r="J219" s="17"/>
      <c r="K219" s="17"/>
      <c r="N219" s="10"/>
    </row>
    <row r="220" spans="5:14" x14ac:dyDescent="0.2">
      <c r="E220" s="10"/>
      <c r="F220" s="53"/>
      <c r="G220" s="9"/>
      <c r="J220" s="17"/>
      <c r="K220" s="17"/>
      <c r="N220" s="10"/>
    </row>
    <row r="221" spans="5:14" x14ac:dyDescent="0.2">
      <c r="E221" s="10"/>
      <c r="F221" s="53"/>
      <c r="G221" s="9"/>
      <c r="J221" s="17"/>
      <c r="K221" s="17"/>
      <c r="N221" s="10"/>
    </row>
    <row r="222" spans="5:14" x14ac:dyDescent="0.2">
      <c r="E222" s="10"/>
      <c r="F222" s="53"/>
      <c r="G222" s="9"/>
      <c r="J222" s="17"/>
      <c r="K222" s="17"/>
      <c r="N222" s="10"/>
    </row>
    <row r="223" spans="5:14" x14ac:dyDescent="0.2">
      <c r="E223" s="10"/>
      <c r="F223" s="53"/>
      <c r="G223" s="9"/>
      <c r="J223" s="17"/>
      <c r="K223" s="17"/>
      <c r="N223" s="10"/>
    </row>
    <row r="224" spans="5:14" x14ac:dyDescent="0.2">
      <c r="E224" s="10"/>
      <c r="F224" s="53"/>
      <c r="G224" s="9"/>
      <c r="J224" s="17"/>
      <c r="K224" s="17"/>
      <c r="N224" s="10"/>
    </row>
    <row r="225" spans="5:14" x14ac:dyDescent="0.2">
      <c r="E225" s="10"/>
      <c r="F225" s="53"/>
      <c r="G225" s="9"/>
      <c r="J225" s="17"/>
      <c r="K225" s="17"/>
      <c r="N225" s="10"/>
    </row>
    <row r="226" spans="5:14" x14ac:dyDescent="0.2">
      <c r="E226" s="10"/>
      <c r="F226" s="53"/>
      <c r="G226" s="9"/>
      <c r="J226" s="17"/>
      <c r="K226" s="17"/>
      <c r="N226" s="10"/>
    </row>
    <row r="227" spans="5:14" x14ac:dyDescent="0.2">
      <c r="E227" s="10"/>
      <c r="F227" s="53"/>
      <c r="G227" s="9"/>
      <c r="J227" s="17"/>
      <c r="K227" s="17"/>
      <c r="N227" s="10"/>
    </row>
    <row r="228" spans="5:14" x14ac:dyDescent="0.2">
      <c r="E228" s="10"/>
      <c r="F228" s="53"/>
      <c r="G228" s="9"/>
      <c r="J228" s="17"/>
      <c r="K228" s="17"/>
      <c r="N228" s="10"/>
    </row>
    <row r="229" spans="5:14" x14ac:dyDescent="0.2">
      <c r="E229" s="10"/>
      <c r="F229" s="53"/>
      <c r="G229" s="9"/>
      <c r="J229" s="17"/>
      <c r="K229" s="17"/>
      <c r="N229" s="10"/>
    </row>
    <row r="230" spans="5:14" x14ac:dyDescent="0.2">
      <c r="E230" s="10"/>
      <c r="F230" s="53"/>
      <c r="G230" s="9"/>
      <c r="J230" s="17"/>
      <c r="K230" s="17"/>
      <c r="N230" s="10"/>
    </row>
    <row r="231" spans="5:14" x14ac:dyDescent="0.2">
      <c r="E231" s="10"/>
      <c r="F231" s="53"/>
      <c r="G231" s="9"/>
      <c r="J231" s="17"/>
      <c r="K231" s="17"/>
      <c r="N231" s="10"/>
    </row>
    <row r="232" spans="5:14" x14ac:dyDescent="0.2">
      <c r="E232" s="10"/>
      <c r="F232" s="53"/>
      <c r="G232" s="9"/>
      <c r="J232" s="17"/>
      <c r="K232" s="17"/>
      <c r="N232" s="10"/>
    </row>
    <row r="233" spans="5:14" x14ac:dyDescent="0.2">
      <c r="E233" s="10"/>
      <c r="F233" s="53"/>
      <c r="G233" s="9"/>
      <c r="J233" s="17"/>
      <c r="K233" s="17"/>
      <c r="N233" s="10"/>
    </row>
    <row r="234" spans="5:14" x14ac:dyDescent="0.2">
      <c r="E234" s="10"/>
      <c r="F234" s="53"/>
      <c r="G234" s="9"/>
      <c r="J234" s="17"/>
      <c r="K234" s="17"/>
      <c r="N234" s="10"/>
    </row>
    <row r="235" spans="5:14" x14ac:dyDescent="0.2">
      <c r="E235" s="10"/>
      <c r="F235" s="53"/>
      <c r="G235" s="9"/>
      <c r="J235" s="17"/>
      <c r="K235" s="17"/>
      <c r="N235" s="10"/>
    </row>
    <row r="236" spans="5:14" x14ac:dyDescent="0.2">
      <c r="E236" s="10"/>
      <c r="F236" s="53"/>
      <c r="G236" s="9"/>
      <c r="J236" s="17"/>
      <c r="K236" s="17"/>
      <c r="N236" s="10"/>
    </row>
    <row r="237" spans="5:14" x14ac:dyDescent="0.2">
      <c r="E237" s="10"/>
      <c r="F237" s="53"/>
      <c r="G237" s="9"/>
      <c r="J237" s="17"/>
      <c r="K237" s="17"/>
      <c r="N237" s="10"/>
    </row>
    <row r="238" spans="5:14" x14ac:dyDescent="0.2">
      <c r="E238" s="10"/>
      <c r="F238" s="53"/>
      <c r="G238" s="9"/>
      <c r="J238" s="17"/>
      <c r="K238" s="17"/>
      <c r="N238" s="10"/>
    </row>
    <row r="239" spans="5:14" x14ac:dyDescent="0.2">
      <c r="E239" s="10"/>
      <c r="F239" s="53"/>
      <c r="G239" s="9"/>
      <c r="J239" s="17"/>
      <c r="K239" s="17"/>
      <c r="N239" s="10"/>
    </row>
    <row r="240" spans="5:14" x14ac:dyDescent="0.2">
      <c r="E240" s="10"/>
      <c r="F240" s="53"/>
      <c r="G240" s="9"/>
      <c r="J240" s="17"/>
      <c r="K240" s="17"/>
      <c r="N240" s="10"/>
    </row>
    <row r="241" spans="5:14" x14ac:dyDescent="0.2">
      <c r="E241" s="10"/>
      <c r="F241" s="53"/>
      <c r="G241" s="9"/>
      <c r="J241" s="17"/>
      <c r="K241" s="17"/>
      <c r="N241" s="10"/>
    </row>
    <row r="242" spans="5:14" x14ac:dyDescent="0.2">
      <c r="E242" s="10"/>
      <c r="F242" s="53"/>
      <c r="G242" s="9"/>
      <c r="J242" s="17"/>
      <c r="K242" s="17"/>
      <c r="N242" s="10"/>
    </row>
    <row r="243" spans="5:14" x14ac:dyDescent="0.2">
      <c r="E243" s="10"/>
      <c r="F243" s="53"/>
      <c r="G243" s="9"/>
      <c r="J243" s="17"/>
      <c r="K243" s="17"/>
      <c r="N243" s="10"/>
    </row>
    <row r="244" spans="5:14" x14ac:dyDescent="0.2">
      <c r="E244" s="10"/>
      <c r="F244" s="53"/>
      <c r="G244" s="9"/>
      <c r="J244" s="17"/>
      <c r="K244" s="17"/>
      <c r="N244" s="10"/>
    </row>
    <row r="245" spans="5:14" x14ac:dyDescent="0.2">
      <c r="E245" s="10"/>
      <c r="F245" s="53"/>
      <c r="G245" s="9"/>
      <c r="J245" s="17"/>
      <c r="K245" s="17"/>
      <c r="N245" s="10"/>
    </row>
    <row r="246" spans="5:14" x14ac:dyDescent="0.2">
      <c r="E246" s="10"/>
      <c r="F246" s="53"/>
      <c r="G246" s="9"/>
      <c r="J246" s="17"/>
      <c r="K246" s="17"/>
      <c r="N246" s="10"/>
    </row>
    <row r="247" spans="5:14" x14ac:dyDescent="0.2">
      <c r="E247" s="10"/>
      <c r="F247" s="53"/>
      <c r="G247" s="9"/>
      <c r="J247" s="17"/>
      <c r="K247" s="17"/>
      <c r="N247" s="10"/>
    </row>
    <row r="248" spans="5:14" x14ac:dyDescent="0.2">
      <c r="E248" s="10"/>
      <c r="F248" s="53"/>
      <c r="G248" s="9"/>
      <c r="J248" s="17"/>
      <c r="K248" s="17"/>
      <c r="N248" s="10"/>
    </row>
    <row r="249" spans="5:14" x14ac:dyDescent="0.2">
      <c r="E249" s="10"/>
      <c r="F249" s="53"/>
      <c r="G249" s="9"/>
      <c r="J249" s="17"/>
      <c r="K249" s="17"/>
      <c r="N249" s="10"/>
    </row>
    <row r="250" spans="5:14" x14ac:dyDescent="0.2">
      <c r="E250" s="10"/>
      <c r="F250" s="53"/>
      <c r="G250" s="9"/>
      <c r="J250" s="17"/>
      <c r="K250" s="17"/>
      <c r="N250" s="10"/>
    </row>
    <row r="251" spans="5:14" x14ac:dyDescent="0.2">
      <c r="E251" s="10"/>
      <c r="F251" s="53"/>
      <c r="G251" s="9"/>
      <c r="J251" s="17"/>
      <c r="K251" s="17"/>
      <c r="N251" s="10"/>
    </row>
    <row r="252" spans="5:14" x14ac:dyDescent="0.2">
      <c r="E252" s="10"/>
      <c r="F252" s="53"/>
      <c r="G252" s="9"/>
      <c r="J252" s="17"/>
      <c r="K252" s="17"/>
      <c r="N252" s="10"/>
    </row>
    <row r="253" spans="5:14" x14ac:dyDescent="0.2">
      <c r="E253" s="10"/>
      <c r="F253" s="53"/>
      <c r="G253" s="9"/>
      <c r="J253" s="17"/>
      <c r="K253" s="17"/>
      <c r="N253" s="10"/>
    </row>
    <row r="254" spans="5:14" x14ac:dyDescent="0.2">
      <c r="E254" s="10"/>
      <c r="F254" s="53"/>
      <c r="G254" s="9"/>
      <c r="J254" s="17"/>
      <c r="K254" s="17"/>
      <c r="N254" s="10"/>
    </row>
    <row r="255" spans="5:14" x14ac:dyDescent="0.2">
      <c r="E255" s="10"/>
      <c r="F255" s="53"/>
      <c r="G255" s="9"/>
      <c r="J255" s="17"/>
      <c r="K255" s="17"/>
      <c r="N255" s="10"/>
    </row>
    <row r="256" spans="5:14" x14ac:dyDescent="0.2">
      <c r="E256" s="10"/>
      <c r="F256" s="53"/>
      <c r="G256" s="9"/>
      <c r="J256" s="17"/>
      <c r="K256" s="17"/>
      <c r="N256" s="10"/>
    </row>
    <row r="257" spans="5:14" x14ac:dyDescent="0.2">
      <c r="E257" s="10"/>
      <c r="F257" s="53"/>
      <c r="G257" s="9"/>
      <c r="J257" s="17"/>
      <c r="K257" s="17"/>
      <c r="N257" s="10"/>
    </row>
    <row r="258" spans="5:14" x14ac:dyDescent="0.2">
      <c r="E258" s="10"/>
      <c r="F258" s="53"/>
      <c r="G258" s="9"/>
      <c r="J258" s="17"/>
      <c r="K258" s="17"/>
      <c r="N258" s="10"/>
    </row>
    <row r="259" spans="5:14" x14ac:dyDescent="0.2">
      <c r="E259" s="10"/>
      <c r="F259" s="53"/>
      <c r="G259" s="9"/>
      <c r="J259" s="17"/>
      <c r="K259" s="17"/>
      <c r="N259" s="10"/>
    </row>
    <row r="260" spans="5:14" x14ac:dyDescent="0.2">
      <c r="E260" s="10"/>
      <c r="F260" s="53"/>
      <c r="G260" s="9"/>
      <c r="J260" s="17"/>
      <c r="K260" s="17"/>
      <c r="N260" s="10"/>
    </row>
    <row r="261" spans="5:14" x14ac:dyDescent="0.2">
      <c r="E261" s="10"/>
      <c r="F261" s="53"/>
      <c r="G261" s="9"/>
      <c r="J261" s="17"/>
      <c r="K261" s="17"/>
      <c r="N261" s="10"/>
    </row>
    <row r="262" spans="5:14" x14ac:dyDescent="0.2">
      <c r="E262" s="10"/>
      <c r="F262" s="53"/>
      <c r="G262" s="9"/>
      <c r="J262" s="17"/>
      <c r="K262" s="17"/>
      <c r="N262" s="10"/>
    </row>
    <row r="263" spans="5:14" x14ac:dyDescent="0.2">
      <c r="E263" s="10"/>
      <c r="F263" s="53"/>
      <c r="G263" s="9"/>
      <c r="J263" s="17"/>
      <c r="K263" s="17"/>
      <c r="N263" s="10"/>
    </row>
    <row r="264" spans="5:14" x14ac:dyDescent="0.2">
      <c r="E264" s="10"/>
      <c r="F264" s="53"/>
      <c r="G264" s="9"/>
      <c r="J264" s="17"/>
      <c r="K264" s="17"/>
      <c r="N264" s="10"/>
    </row>
    <row r="265" spans="5:14" x14ac:dyDescent="0.2">
      <c r="E265" s="10"/>
      <c r="F265" s="53"/>
      <c r="G265" s="9"/>
      <c r="J265" s="17"/>
      <c r="K265" s="17"/>
      <c r="N265" s="10"/>
    </row>
    <row r="266" spans="5:14" x14ac:dyDescent="0.2">
      <c r="E266" s="10"/>
      <c r="F266" s="53"/>
      <c r="G266" s="9"/>
      <c r="J266" s="17"/>
      <c r="K266" s="17"/>
      <c r="N266" s="10"/>
    </row>
    <row r="267" spans="5:14" x14ac:dyDescent="0.2">
      <c r="E267" s="10"/>
      <c r="F267" s="53"/>
      <c r="G267" s="9"/>
      <c r="J267" s="17"/>
      <c r="K267" s="17"/>
      <c r="N267" s="10"/>
    </row>
    <row r="268" spans="5:14" x14ac:dyDescent="0.2">
      <c r="E268" s="10"/>
      <c r="F268" s="53"/>
      <c r="G268" s="9"/>
      <c r="J268" s="17"/>
      <c r="K268" s="17"/>
      <c r="N268" s="10"/>
    </row>
    <row r="269" spans="5:14" x14ac:dyDescent="0.2">
      <c r="E269" s="10"/>
      <c r="F269" s="53"/>
      <c r="G269" s="9"/>
      <c r="J269" s="17"/>
      <c r="K269" s="17"/>
      <c r="N269" s="10"/>
    </row>
    <row r="270" spans="5:14" x14ac:dyDescent="0.2">
      <c r="E270" s="10"/>
      <c r="F270" s="53"/>
      <c r="G270" s="9"/>
      <c r="J270" s="17"/>
      <c r="K270" s="17"/>
      <c r="N270" s="10"/>
    </row>
    <row r="271" spans="5:14" x14ac:dyDescent="0.2">
      <c r="E271" s="10"/>
      <c r="F271" s="53"/>
      <c r="G271" s="9"/>
      <c r="J271" s="17"/>
      <c r="K271" s="17"/>
      <c r="N271" s="10"/>
    </row>
    <row r="272" spans="5:14" x14ac:dyDescent="0.2">
      <c r="E272" s="10"/>
      <c r="F272" s="53"/>
      <c r="G272" s="9"/>
      <c r="J272" s="17"/>
      <c r="K272" s="17"/>
      <c r="N272" s="10"/>
    </row>
    <row r="273" spans="5:14" x14ac:dyDescent="0.2">
      <c r="E273" s="10"/>
      <c r="F273" s="53"/>
      <c r="G273" s="9"/>
      <c r="J273" s="17"/>
      <c r="K273" s="17"/>
      <c r="N273" s="10"/>
    </row>
    <row r="274" spans="5:14" x14ac:dyDescent="0.2">
      <c r="E274" s="10"/>
      <c r="F274" s="53"/>
      <c r="G274" s="9"/>
      <c r="J274" s="17"/>
      <c r="K274" s="17"/>
      <c r="N274" s="10"/>
    </row>
    <row r="275" spans="5:14" x14ac:dyDescent="0.2">
      <c r="E275" s="10"/>
      <c r="F275" s="53"/>
      <c r="G275" s="9"/>
      <c r="J275" s="17"/>
      <c r="K275" s="17"/>
      <c r="N275" s="10"/>
    </row>
    <row r="276" spans="5:14" x14ac:dyDescent="0.2">
      <c r="E276" s="10"/>
      <c r="F276" s="53"/>
      <c r="G276" s="9"/>
      <c r="J276" s="17"/>
      <c r="K276" s="17"/>
      <c r="N276" s="10"/>
    </row>
    <row r="277" spans="5:14" x14ac:dyDescent="0.2">
      <c r="E277" s="10"/>
      <c r="F277" s="53"/>
      <c r="G277" s="9"/>
      <c r="J277" s="17"/>
      <c r="K277" s="17"/>
      <c r="N277" s="10"/>
    </row>
    <row r="278" spans="5:14" x14ac:dyDescent="0.2">
      <c r="E278" s="10"/>
      <c r="F278" s="53"/>
      <c r="G278" s="9"/>
      <c r="J278" s="17"/>
      <c r="K278" s="17"/>
      <c r="N278" s="10"/>
    </row>
    <row r="279" spans="5:14" x14ac:dyDescent="0.2">
      <c r="E279" s="10"/>
      <c r="F279" s="53"/>
      <c r="G279" s="9"/>
      <c r="J279" s="17"/>
      <c r="K279" s="17"/>
      <c r="N279" s="10"/>
    </row>
    <row r="280" spans="5:14" x14ac:dyDescent="0.2">
      <c r="E280" s="10"/>
      <c r="F280" s="53"/>
      <c r="G280" s="9"/>
      <c r="J280" s="17"/>
      <c r="K280" s="17"/>
      <c r="N280" s="10"/>
    </row>
    <row r="281" spans="5:14" x14ac:dyDescent="0.2">
      <c r="E281" s="10"/>
      <c r="F281" s="53"/>
      <c r="G281" s="9"/>
      <c r="J281" s="17"/>
      <c r="K281" s="17"/>
      <c r="N281" s="10"/>
    </row>
    <row r="282" spans="5:14" x14ac:dyDescent="0.2">
      <c r="E282" s="10"/>
      <c r="F282" s="53"/>
      <c r="G282" s="9"/>
      <c r="J282" s="17"/>
      <c r="K282" s="17"/>
      <c r="N282" s="10"/>
    </row>
    <row r="283" spans="5:14" x14ac:dyDescent="0.2">
      <c r="E283" s="10"/>
      <c r="F283" s="53"/>
      <c r="G283" s="9"/>
      <c r="J283" s="17"/>
      <c r="K283" s="17"/>
      <c r="N283" s="10"/>
    </row>
    <row r="284" spans="5:14" x14ac:dyDescent="0.2">
      <c r="E284" s="10"/>
      <c r="F284" s="53"/>
      <c r="G284" s="9"/>
      <c r="J284" s="17"/>
      <c r="K284" s="17"/>
      <c r="N284" s="10"/>
    </row>
    <row r="285" spans="5:14" x14ac:dyDescent="0.2">
      <c r="E285" s="10"/>
      <c r="F285" s="53"/>
      <c r="G285" s="9"/>
      <c r="J285" s="17"/>
      <c r="K285" s="17"/>
      <c r="N285" s="10"/>
    </row>
    <row r="286" spans="5:14" x14ac:dyDescent="0.2">
      <c r="E286" s="10"/>
      <c r="F286" s="53"/>
      <c r="G286" s="9"/>
      <c r="J286" s="17"/>
      <c r="K286" s="17"/>
      <c r="N286" s="10"/>
    </row>
    <row r="287" spans="5:14" x14ac:dyDescent="0.2">
      <c r="E287" s="10"/>
      <c r="F287" s="53"/>
      <c r="G287" s="9"/>
      <c r="J287" s="17"/>
      <c r="K287" s="17"/>
      <c r="N287" s="10"/>
    </row>
    <row r="288" spans="5:14" x14ac:dyDescent="0.2">
      <c r="E288" s="10"/>
      <c r="F288" s="53"/>
      <c r="G288" s="9"/>
      <c r="J288" s="17"/>
      <c r="K288" s="17"/>
      <c r="N288" s="10"/>
    </row>
    <row r="289" spans="5:14" x14ac:dyDescent="0.2">
      <c r="E289" s="10"/>
      <c r="F289" s="53"/>
      <c r="G289" s="9"/>
      <c r="J289" s="17"/>
      <c r="K289" s="17"/>
      <c r="N289" s="10"/>
    </row>
    <row r="290" spans="5:14" x14ac:dyDescent="0.2">
      <c r="E290" s="10"/>
      <c r="F290" s="53"/>
      <c r="G290" s="9"/>
      <c r="J290" s="17"/>
      <c r="K290" s="17"/>
      <c r="N290" s="10"/>
    </row>
    <row r="291" spans="5:14" x14ac:dyDescent="0.2">
      <c r="E291" s="10"/>
      <c r="F291" s="53"/>
      <c r="G291" s="9"/>
      <c r="J291" s="17"/>
      <c r="K291" s="17"/>
      <c r="N291" s="10"/>
    </row>
    <row r="292" spans="5:14" x14ac:dyDescent="0.2">
      <c r="E292" s="10"/>
      <c r="F292" s="53"/>
      <c r="G292" s="9"/>
      <c r="J292" s="17"/>
      <c r="K292" s="17"/>
      <c r="N292" s="10"/>
    </row>
    <row r="293" spans="5:14" x14ac:dyDescent="0.2">
      <c r="E293" s="10"/>
      <c r="F293" s="53"/>
      <c r="G293" s="9"/>
      <c r="J293" s="17"/>
      <c r="K293" s="17"/>
      <c r="N293" s="10"/>
    </row>
    <row r="294" spans="5:14" x14ac:dyDescent="0.2">
      <c r="E294" s="10"/>
      <c r="F294" s="53"/>
      <c r="G294" s="9"/>
      <c r="J294" s="17"/>
      <c r="K294" s="17"/>
      <c r="N294" s="10"/>
    </row>
    <row r="295" spans="5:14" x14ac:dyDescent="0.2">
      <c r="E295" s="10"/>
      <c r="F295" s="53"/>
      <c r="G295" s="9"/>
      <c r="J295" s="17"/>
      <c r="K295" s="17"/>
      <c r="N295" s="10"/>
    </row>
    <row r="296" spans="5:14" x14ac:dyDescent="0.2">
      <c r="E296" s="10"/>
      <c r="F296" s="53"/>
      <c r="G296" s="9"/>
      <c r="J296" s="17"/>
      <c r="K296" s="17"/>
      <c r="N296" s="10"/>
    </row>
    <row r="297" spans="5:14" x14ac:dyDescent="0.2">
      <c r="E297" s="10"/>
      <c r="F297" s="53"/>
      <c r="G297" s="9"/>
      <c r="J297" s="17"/>
      <c r="K297" s="17"/>
      <c r="N297" s="10"/>
    </row>
    <row r="298" spans="5:14" x14ac:dyDescent="0.2">
      <c r="E298" s="10"/>
      <c r="F298" s="53"/>
      <c r="G298" s="9"/>
      <c r="J298" s="17"/>
      <c r="K298" s="17"/>
      <c r="N298" s="10"/>
    </row>
    <row r="299" spans="5:14" x14ac:dyDescent="0.2">
      <c r="E299" s="10"/>
      <c r="F299" s="53"/>
      <c r="G299" s="9"/>
      <c r="J299" s="17"/>
      <c r="K299" s="17"/>
      <c r="N299" s="10"/>
    </row>
    <row r="300" spans="5:14" x14ac:dyDescent="0.2">
      <c r="E300" s="10"/>
      <c r="F300" s="53"/>
      <c r="G300" s="9"/>
      <c r="J300" s="17"/>
      <c r="K300" s="17"/>
      <c r="N300" s="10"/>
    </row>
    <row r="301" spans="5:14" x14ac:dyDescent="0.2">
      <c r="E301" s="10"/>
      <c r="F301" s="53"/>
      <c r="G301" s="9"/>
      <c r="J301" s="17"/>
      <c r="K301" s="17"/>
      <c r="N301" s="10"/>
    </row>
    <row r="302" spans="5:14" x14ac:dyDescent="0.2">
      <c r="E302" s="10"/>
      <c r="F302" s="53"/>
      <c r="G302" s="9"/>
      <c r="J302" s="17"/>
      <c r="K302" s="17"/>
      <c r="N302" s="10"/>
    </row>
    <row r="303" spans="5:14" x14ac:dyDescent="0.2">
      <c r="E303" s="10"/>
      <c r="F303" s="53"/>
      <c r="G303" s="9"/>
      <c r="J303" s="17"/>
      <c r="K303" s="17"/>
      <c r="N303" s="10"/>
    </row>
    <row r="304" spans="5:14" x14ac:dyDescent="0.2">
      <c r="E304" s="10"/>
      <c r="F304" s="53"/>
      <c r="G304" s="9"/>
      <c r="J304" s="17"/>
      <c r="K304" s="17"/>
      <c r="N304" s="10"/>
    </row>
    <row r="305" spans="5:14" x14ac:dyDescent="0.2">
      <c r="E305" s="10"/>
      <c r="F305" s="53"/>
      <c r="G305" s="9"/>
      <c r="J305" s="17"/>
      <c r="K305" s="17"/>
      <c r="N305" s="10"/>
    </row>
    <row r="306" spans="5:14" x14ac:dyDescent="0.2">
      <c r="E306" s="10"/>
      <c r="F306" s="53"/>
      <c r="G306" s="9"/>
      <c r="J306" s="17"/>
      <c r="K306" s="17"/>
      <c r="N306" s="10"/>
    </row>
    <row r="307" spans="5:14" x14ac:dyDescent="0.2">
      <c r="E307" s="10"/>
      <c r="F307" s="53"/>
      <c r="G307" s="9"/>
      <c r="J307" s="17"/>
      <c r="K307" s="17"/>
      <c r="N307" s="10"/>
    </row>
    <row r="308" spans="5:14" x14ac:dyDescent="0.2">
      <c r="E308" s="10"/>
      <c r="F308" s="53"/>
      <c r="G308" s="9"/>
      <c r="J308" s="17"/>
      <c r="K308" s="17"/>
      <c r="N308" s="10"/>
    </row>
    <row r="309" spans="5:14" x14ac:dyDescent="0.2">
      <c r="E309" s="10"/>
      <c r="F309" s="53"/>
      <c r="G309" s="9"/>
      <c r="J309" s="17"/>
      <c r="K309" s="17"/>
      <c r="N309" s="10"/>
    </row>
    <row r="310" spans="5:14" x14ac:dyDescent="0.2">
      <c r="E310" s="10"/>
      <c r="F310" s="53"/>
      <c r="G310" s="9"/>
      <c r="J310" s="17"/>
      <c r="K310" s="17"/>
      <c r="N310" s="10"/>
    </row>
    <row r="311" spans="5:14" x14ac:dyDescent="0.2">
      <c r="E311" s="10"/>
      <c r="F311" s="53"/>
      <c r="G311" s="9"/>
      <c r="J311" s="17"/>
      <c r="K311" s="17"/>
      <c r="N311" s="10"/>
    </row>
    <row r="312" spans="5:14" x14ac:dyDescent="0.2">
      <c r="E312" s="10"/>
      <c r="F312" s="53"/>
      <c r="G312" s="9"/>
      <c r="J312" s="17"/>
      <c r="K312" s="17"/>
      <c r="N312" s="10"/>
    </row>
    <row r="313" spans="5:14" x14ac:dyDescent="0.2">
      <c r="E313" s="10"/>
      <c r="F313" s="53"/>
      <c r="G313" s="9"/>
      <c r="J313" s="17"/>
      <c r="K313" s="17"/>
      <c r="N313" s="10"/>
    </row>
    <row r="314" spans="5:14" x14ac:dyDescent="0.2">
      <c r="E314" s="10"/>
      <c r="F314" s="53"/>
      <c r="G314" s="9"/>
      <c r="J314" s="17"/>
      <c r="K314" s="17"/>
      <c r="N314" s="10"/>
    </row>
    <row r="315" spans="5:14" x14ac:dyDescent="0.2">
      <c r="E315" s="10"/>
      <c r="F315" s="53"/>
      <c r="G315" s="9"/>
      <c r="J315" s="17"/>
      <c r="K315" s="17"/>
      <c r="N315" s="10"/>
    </row>
    <row r="316" spans="5:14" x14ac:dyDescent="0.2">
      <c r="E316" s="10"/>
      <c r="F316" s="53"/>
      <c r="G316" s="9"/>
      <c r="J316" s="17"/>
      <c r="K316" s="17"/>
      <c r="N316" s="10"/>
    </row>
    <row r="317" spans="5:14" x14ac:dyDescent="0.2">
      <c r="E317" s="10"/>
      <c r="F317" s="53"/>
      <c r="G317" s="9"/>
      <c r="J317" s="17"/>
      <c r="K317" s="17"/>
      <c r="N317" s="10"/>
    </row>
    <row r="318" spans="5:14" x14ac:dyDescent="0.2">
      <c r="E318" s="10"/>
      <c r="F318" s="53"/>
      <c r="G318" s="9"/>
      <c r="J318" s="17"/>
      <c r="K318" s="17"/>
      <c r="N318" s="10"/>
    </row>
    <row r="319" spans="5:14" x14ac:dyDescent="0.2">
      <c r="E319" s="10"/>
      <c r="F319" s="53"/>
      <c r="G319" s="9"/>
      <c r="J319" s="17"/>
      <c r="K319" s="17"/>
      <c r="N319" s="10"/>
    </row>
    <row r="320" spans="5:14" x14ac:dyDescent="0.2">
      <c r="E320" s="10"/>
      <c r="F320" s="53"/>
      <c r="G320" s="9"/>
      <c r="J320" s="17"/>
      <c r="K320" s="17"/>
      <c r="N320" s="10"/>
    </row>
    <row r="321" spans="5:14" x14ac:dyDescent="0.2">
      <c r="E321" s="10"/>
      <c r="F321" s="53"/>
      <c r="G321" s="9"/>
      <c r="J321" s="17"/>
      <c r="K321" s="17"/>
      <c r="N321" s="10"/>
    </row>
    <row r="322" spans="5:14" x14ac:dyDescent="0.2">
      <c r="E322" s="10"/>
      <c r="F322" s="53"/>
      <c r="G322" s="9"/>
      <c r="J322" s="17"/>
      <c r="K322" s="17"/>
      <c r="N322" s="10"/>
    </row>
    <row r="323" spans="5:14" x14ac:dyDescent="0.2">
      <c r="E323" s="10"/>
      <c r="F323" s="53"/>
      <c r="G323" s="9"/>
      <c r="J323" s="17"/>
      <c r="K323" s="17"/>
      <c r="N323" s="10"/>
    </row>
    <row r="324" spans="5:14" x14ac:dyDescent="0.2">
      <c r="E324" s="10"/>
      <c r="F324" s="53"/>
      <c r="G324" s="9"/>
      <c r="J324" s="17"/>
      <c r="K324" s="17"/>
      <c r="N324" s="10"/>
    </row>
    <row r="325" spans="5:14" x14ac:dyDescent="0.2">
      <c r="E325" s="10"/>
      <c r="F325" s="53"/>
      <c r="G325" s="9"/>
      <c r="J325" s="17"/>
      <c r="K325" s="17"/>
      <c r="N325" s="10"/>
    </row>
    <row r="326" spans="5:14" x14ac:dyDescent="0.2">
      <c r="E326" s="10"/>
      <c r="F326" s="53"/>
      <c r="G326" s="9"/>
      <c r="J326" s="17"/>
      <c r="K326" s="17"/>
      <c r="N326" s="10"/>
    </row>
    <row r="327" spans="5:14" x14ac:dyDescent="0.2">
      <c r="E327" s="10"/>
      <c r="F327" s="53"/>
      <c r="G327" s="9"/>
      <c r="J327" s="17"/>
      <c r="K327" s="17"/>
      <c r="N327" s="10"/>
    </row>
    <row r="328" spans="5:14" x14ac:dyDescent="0.2">
      <c r="E328" s="10"/>
      <c r="F328" s="53"/>
      <c r="G328" s="9"/>
      <c r="J328" s="17"/>
      <c r="K328" s="17"/>
      <c r="N328" s="10"/>
    </row>
    <row r="329" spans="5:14" x14ac:dyDescent="0.2">
      <c r="E329" s="10"/>
      <c r="F329" s="53"/>
      <c r="G329" s="9"/>
      <c r="J329" s="17"/>
      <c r="K329" s="17"/>
      <c r="N329" s="10"/>
    </row>
    <row r="330" spans="5:14" x14ac:dyDescent="0.2">
      <c r="E330" s="10"/>
      <c r="F330" s="53"/>
      <c r="G330" s="9"/>
      <c r="J330" s="17"/>
      <c r="K330" s="17"/>
      <c r="N330" s="10"/>
    </row>
    <row r="331" spans="5:14" x14ac:dyDescent="0.2">
      <c r="E331" s="10"/>
      <c r="F331" s="53"/>
      <c r="G331" s="9"/>
      <c r="J331" s="17"/>
      <c r="K331" s="17"/>
      <c r="N331" s="10"/>
    </row>
    <row r="332" spans="5:14" x14ac:dyDescent="0.2">
      <c r="E332" s="10"/>
      <c r="F332" s="53"/>
      <c r="G332" s="9"/>
      <c r="J332" s="17"/>
      <c r="K332" s="17"/>
      <c r="N332" s="10"/>
    </row>
    <row r="333" spans="5:14" x14ac:dyDescent="0.2">
      <c r="E333" s="10"/>
      <c r="F333" s="53"/>
      <c r="G333" s="9"/>
      <c r="J333" s="17"/>
      <c r="K333" s="17"/>
      <c r="N333" s="10"/>
    </row>
    <row r="334" spans="5:14" x14ac:dyDescent="0.2">
      <c r="E334" s="10"/>
      <c r="F334" s="53"/>
      <c r="G334" s="9"/>
      <c r="J334" s="17"/>
      <c r="K334" s="17"/>
      <c r="N334" s="10"/>
    </row>
    <row r="335" spans="5:14" x14ac:dyDescent="0.2">
      <c r="E335" s="10"/>
      <c r="F335" s="53"/>
      <c r="G335" s="9"/>
      <c r="J335" s="17"/>
      <c r="K335" s="17"/>
      <c r="N335" s="10"/>
    </row>
    <row r="336" spans="5:14" x14ac:dyDescent="0.2">
      <c r="E336" s="10"/>
      <c r="F336" s="53"/>
      <c r="G336" s="9"/>
      <c r="J336" s="17"/>
      <c r="K336" s="17"/>
      <c r="N336" s="10"/>
    </row>
    <row r="337" spans="5:14" x14ac:dyDescent="0.2">
      <c r="E337" s="10"/>
      <c r="F337" s="53"/>
      <c r="G337" s="9"/>
      <c r="J337" s="17"/>
      <c r="K337" s="17"/>
      <c r="N337" s="10"/>
    </row>
    <row r="338" spans="5:14" x14ac:dyDescent="0.2">
      <c r="E338" s="10"/>
      <c r="F338" s="53"/>
      <c r="G338" s="9"/>
      <c r="J338" s="17"/>
      <c r="K338" s="17"/>
      <c r="N338" s="10"/>
    </row>
    <row r="339" spans="5:14" x14ac:dyDescent="0.2">
      <c r="E339" s="10"/>
      <c r="F339" s="53"/>
      <c r="G339" s="9"/>
      <c r="J339" s="17"/>
      <c r="K339" s="17"/>
      <c r="N339" s="10"/>
    </row>
    <row r="340" spans="5:14" x14ac:dyDescent="0.2">
      <c r="E340" s="10"/>
      <c r="F340" s="53"/>
      <c r="G340" s="9"/>
      <c r="J340" s="17"/>
      <c r="K340" s="17"/>
      <c r="N340" s="10"/>
    </row>
    <row r="341" spans="5:14" x14ac:dyDescent="0.2">
      <c r="E341" s="10"/>
      <c r="F341" s="53"/>
      <c r="G341" s="9"/>
      <c r="J341" s="17"/>
      <c r="K341" s="17"/>
      <c r="N341" s="10"/>
    </row>
    <row r="342" spans="5:14" x14ac:dyDescent="0.2">
      <c r="E342" s="10"/>
      <c r="F342" s="53"/>
      <c r="G342" s="9"/>
      <c r="J342" s="17"/>
      <c r="K342" s="17"/>
      <c r="N342" s="10"/>
    </row>
    <row r="343" spans="5:14" x14ac:dyDescent="0.2">
      <c r="E343" s="10"/>
      <c r="F343" s="53"/>
      <c r="G343" s="9"/>
      <c r="J343" s="17"/>
      <c r="K343" s="17"/>
      <c r="N343" s="10"/>
    </row>
    <row r="344" spans="5:14" x14ac:dyDescent="0.2">
      <c r="E344" s="10"/>
      <c r="F344" s="53"/>
      <c r="G344" s="9"/>
      <c r="J344" s="17"/>
      <c r="K344" s="17"/>
      <c r="N344" s="10"/>
    </row>
    <row r="345" spans="5:14" x14ac:dyDescent="0.2">
      <c r="E345" s="10"/>
      <c r="F345" s="53"/>
      <c r="G345" s="9"/>
      <c r="J345" s="17"/>
      <c r="K345" s="17"/>
      <c r="N345" s="10"/>
    </row>
    <row r="346" spans="5:14" x14ac:dyDescent="0.2">
      <c r="E346" s="10"/>
      <c r="F346" s="53"/>
      <c r="G346" s="9"/>
      <c r="J346" s="17"/>
      <c r="K346" s="17"/>
      <c r="N346" s="10"/>
    </row>
    <row r="347" spans="5:14" x14ac:dyDescent="0.2">
      <c r="E347" s="10"/>
      <c r="F347" s="53"/>
      <c r="G347" s="9"/>
      <c r="J347" s="17"/>
      <c r="K347" s="17"/>
      <c r="N347" s="10"/>
    </row>
    <row r="348" spans="5:14" x14ac:dyDescent="0.2">
      <c r="E348" s="10"/>
      <c r="F348" s="53"/>
      <c r="G348" s="9"/>
      <c r="J348" s="17"/>
      <c r="K348" s="17"/>
      <c r="N348" s="10"/>
    </row>
    <row r="349" spans="5:14" x14ac:dyDescent="0.2">
      <c r="E349" s="10"/>
      <c r="F349" s="53"/>
      <c r="G349" s="9"/>
      <c r="J349" s="17"/>
      <c r="K349" s="17"/>
      <c r="N349" s="10"/>
    </row>
    <row r="350" spans="5:14" x14ac:dyDescent="0.2">
      <c r="E350" s="10"/>
      <c r="F350" s="53"/>
      <c r="G350" s="9"/>
      <c r="J350" s="17"/>
      <c r="K350" s="17"/>
      <c r="N350" s="10"/>
    </row>
    <row r="351" spans="5:14" x14ac:dyDescent="0.2">
      <c r="E351" s="10"/>
      <c r="F351" s="53"/>
      <c r="G351" s="9"/>
      <c r="J351" s="17"/>
      <c r="K351" s="17"/>
      <c r="N351" s="10"/>
    </row>
    <row r="352" spans="5:14" x14ac:dyDescent="0.2">
      <c r="E352" s="10"/>
      <c r="F352" s="53"/>
      <c r="G352" s="9"/>
      <c r="J352" s="17"/>
      <c r="K352" s="17"/>
      <c r="N352" s="10"/>
    </row>
    <row r="353" spans="5:14" x14ac:dyDescent="0.2">
      <c r="E353" s="10"/>
      <c r="F353" s="53"/>
      <c r="G353" s="9"/>
      <c r="J353" s="17"/>
      <c r="K353" s="17"/>
      <c r="N353" s="10"/>
    </row>
    <row r="354" spans="5:14" x14ac:dyDescent="0.2">
      <c r="E354" s="10"/>
      <c r="F354" s="53"/>
      <c r="G354" s="9"/>
      <c r="J354" s="17"/>
      <c r="K354" s="17"/>
      <c r="N354" s="10"/>
    </row>
    <row r="355" spans="5:14" x14ac:dyDescent="0.2">
      <c r="E355" s="10"/>
      <c r="F355" s="53"/>
      <c r="G355" s="9"/>
      <c r="J355" s="17"/>
      <c r="K355" s="17"/>
      <c r="N355" s="10"/>
    </row>
    <row r="356" spans="5:14" x14ac:dyDescent="0.2">
      <c r="E356" s="10"/>
      <c r="F356" s="53"/>
      <c r="G356" s="9"/>
      <c r="J356" s="17"/>
      <c r="K356" s="17"/>
      <c r="N356" s="10"/>
    </row>
    <row r="357" spans="5:14" x14ac:dyDescent="0.2">
      <c r="E357" s="10"/>
      <c r="F357" s="53"/>
      <c r="G357" s="9"/>
      <c r="J357" s="17"/>
      <c r="K357" s="17"/>
      <c r="N357" s="10"/>
    </row>
    <row r="358" spans="5:14" x14ac:dyDescent="0.2">
      <c r="E358" s="10"/>
      <c r="F358" s="53"/>
      <c r="G358" s="9"/>
      <c r="J358" s="17"/>
      <c r="K358" s="17"/>
      <c r="N358" s="10"/>
    </row>
    <row r="359" spans="5:14" x14ac:dyDescent="0.2">
      <c r="E359" s="10"/>
      <c r="F359" s="53"/>
      <c r="G359" s="9"/>
      <c r="J359" s="17"/>
      <c r="K359" s="17"/>
      <c r="N359" s="10"/>
    </row>
    <row r="360" spans="5:14" x14ac:dyDescent="0.2">
      <c r="E360" s="10"/>
      <c r="F360" s="53"/>
      <c r="G360" s="9"/>
      <c r="J360" s="17"/>
      <c r="K360" s="17"/>
      <c r="N360" s="10"/>
    </row>
    <row r="361" spans="5:14" x14ac:dyDescent="0.2">
      <c r="E361" s="10"/>
      <c r="F361" s="53"/>
      <c r="G361" s="9"/>
      <c r="J361" s="17"/>
      <c r="K361" s="17"/>
      <c r="N361" s="10"/>
    </row>
    <row r="362" spans="5:14" x14ac:dyDescent="0.2">
      <c r="E362" s="10"/>
      <c r="F362" s="53"/>
      <c r="G362" s="9"/>
      <c r="J362" s="17"/>
      <c r="K362" s="17"/>
      <c r="N362" s="10"/>
    </row>
    <row r="363" spans="5:14" x14ac:dyDescent="0.2">
      <c r="E363" s="10"/>
      <c r="F363" s="53"/>
      <c r="G363" s="9"/>
      <c r="J363" s="17"/>
      <c r="K363" s="17"/>
      <c r="N363" s="10"/>
    </row>
    <row r="364" spans="5:14" x14ac:dyDescent="0.2">
      <c r="E364" s="10"/>
      <c r="F364" s="53"/>
      <c r="G364" s="9"/>
      <c r="J364" s="17"/>
      <c r="K364" s="17"/>
      <c r="N364" s="10"/>
    </row>
    <row r="365" spans="5:14" x14ac:dyDescent="0.2">
      <c r="E365" s="10"/>
      <c r="F365" s="53"/>
      <c r="G365" s="9"/>
      <c r="J365" s="17"/>
      <c r="K365" s="17"/>
      <c r="N365" s="10"/>
    </row>
    <row r="366" spans="5:14" x14ac:dyDescent="0.2">
      <c r="E366" s="10"/>
      <c r="F366" s="53"/>
      <c r="G366" s="9"/>
      <c r="J366" s="17"/>
      <c r="K366" s="17"/>
      <c r="N366" s="10"/>
    </row>
    <row r="367" spans="5:14" x14ac:dyDescent="0.2">
      <c r="E367" s="10"/>
      <c r="F367" s="53"/>
      <c r="G367" s="9"/>
      <c r="J367" s="17"/>
      <c r="K367" s="17"/>
      <c r="N367" s="10"/>
    </row>
    <row r="368" spans="5:14" x14ac:dyDescent="0.2">
      <c r="E368" s="10"/>
      <c r="F368" s="53"/>
      <c r="G368" s="9"/>
      <c r="J368" s="17"/>
      <c r="K368" s="17"/>
      <c r="N368" s="10"/>
    </row>
    <row r="369" spans="5:14" x14ac:dyDescent="0.2">
      <c r="E369" s="10"/>
      <c r="F369" s="53"/>
      <c r="G369" s="9"/>
      <c r="J369" s="17"/>
      <c r="K369" s="17"/>
      <c r="N369" s="10"/>
    </row>
    <row r="370" spans="5:14" x14ac:dyDescent="0.2">
      <c r="E370" s="10"/>
      <c r="F370" s="53"/>
      <c r="G370" s="9"/>
      <c r="J370" s="17"/>
      <c r="K370" s="17"/>
      <c r="N370" s="10"/>
    </row>
    <row r="371" spans="5:14" x14ac:dyDescent="0.2">
      <c r="E371" s="10"/>
      <c r="F371" s="53"/>
      <c r="G371" s="9"/>
      <c r="J371" s="17"/>
      <c r="K371" s="17"/>
      <c r="N371" s="10"/>
    </row>
    <row r="372" spans="5:14" x14ac:dyDescent="0.2">
      <c r="E372" s="10"/>
      <c r="F372" s="53"/>
      <c r="G372" s="9"/>
      <c r="J372" s="17"/>
      <c r="K372" s="17"/>
      <c r="N372" s="10"/>
    </row>
    <row r="373" spans="5:14" x14ac:dyDescent="0.2">
      <c r="E373" s="10"/>
      <c r="F373" s="53"/>
      <c r="G373" s="9"/>
      <c r="J373" s="17"/>
      <c r="K373" s="17"/>
      <c r="N373" s="10"/>
    </row>
    <row r="374" spans="5:14" x14ac:dyDescent="0.2">
      <c r="E374" s="10"/>
      <c r="F374" s="53"/>
      <c r="G374" s="9"/>
      <c r="J374" s="17"/>
      <c r="K374" s="17"/>
      <c r="N374" s="10"/>
    </row>
    <row r="375" spans="5:14" x14ac:dyDescent="0.2">
      <c r="E375" s="10"/>
      <c r="F375" s="53"/>
      <c r="G375" s="9"/>
      <c r="J375" s="17"/>
      <c r="K375" s="17"/>
      <c r="N375" s="10"/>
    </row>
    <row r="376" spans="5:14" x14ac:dyDescent="0.2">
      <c r="E376" s="10"/>
      <c r="F376" s="53"/>
      <c r="G376" s="9"/>
      <c r="J376" s="17"/>
      <c r="K376" s="17"/>
      <c r="N376" s="10"/>
    </row>
    <row r="377" spans="5:14" x14ac:dyDescent="0.2">
      <c r="E377" s="10"/>
      <c r="F377" s="53"/>
      <c r="G377" s="9"/>
      <c r="J377" s="17"/>
      <c r="K377" s="17"/>
      <c r="N377" s="10"/>
    </row>
    <row r="378" spans="5:14" x14ac:dyDescent="0.2">
      <c r="E378" s="10"/>
      <c r="F378" s="53"/>
      <c r="G378" s="9"/>
      <c r="J378" s="17"/>
      <c r="K378" s="17"/>
      <c r="N378" s="10"/>
    </row>
    <row r="379" spans="5:14" x14ac:dyDescent="0.2">
      <c r="E379" s="10"/>
      <c r="F379" s="53"/>
      <c r="G379" s="9"/>
      <c r="J379" s="17"/>
      <c r="K379" s="17"/>
      <c r="N379" s="10"/>
    </row>
    <row r="380" spans="5:14" x14ac:dyDescent="0.2">
      <c r="E380" s="10"/>
      <c r="F380" s="53"/>
      <c r="G380" s="9"/>
      <c r="J380" s="17"/>
      <c r="K380" s="17"/>
      <c r="N380" s="10"/>
    </row>
    <row r="381" spans="5:14" x14ac:dyDescent="0.2">
      <c r="E381" s="10"/>
      <c r="F381" s="53"/>
      <c r="G381" s="9"/>
      <c r="J381" s="17"/>
      <c r="K381" s="17"/>
      <c r="N381" s="10"/>
    </row>
    <row r="382" spans="5:14" x14ac:dyDescent="0.2">
      <c r="E382" s="10"/>
      <c r="F382" s="53"/>
      <c r="G382" s="9"/>
      <c r="J382" s="17"/>
      <c r="K382" s="17"/>
      <c r="N382" s="10"/>
    </row>
    <row r="383" spans="5:14" x14ac:dyDescent="0.2">
      <c r="E383" s="10"/>
      <c r="F383" s="53"/>
      <c r="G383" s="9"/>
      <c r="J383" s="17"/>
      <c r="K383" s="17"/>
      <c r="N383" s="10"/>
    </row>
    <row r="384" spans="5:14" x14ac:dyDescent="0.2">
      <c r="E384" s="10"/>
      <c r="F384" s="53"/>
      <c r="G384" s="9"/>
      <c r="J384" s="17"/>
      <c r="K384" s="17"/>
      <c r="N384" s="10"/>
    </row>
    <row r="385" spans="5:14" x14ac:dyDescent="0.2">
      <c r="E385" s="10"/>
      <c r="F385" s="53"/>
      <c r="G385" s="9"/>
      <c r="J385" s="17"/>
      <c r="K385" s="17"/>
      <c r="N385" s="10"/>
    </row>
    <row r="386" spans="5:14" x14ac:dyDescent="0.2">
      <c r="E386" s="10"/>
      <c r="F386" s="53"/>
      <c r="G386" s="9"/>
      <c r="J386" s="17"/>
      <c r="K386" s="17"/>
      <c r="N386" s="10"/>
    </row>
    <row r="387" spans="5:14" x14ac:dyDescent="0.2">
      <c r="E387" s="10"/>
      <c r="F387" s="53"/>
      <c r="G387" s="9"/>
      <c r="J387" s="17"/>
      <c r="K387" s="17"/>
      <c r="N387" s="10"/>
    </row>
    <row r="388" spans="5:14" x14ac:dyDescent="0.2">
      <c r="E388" s="10"/>
      <c r="F388" s="53"/>
      <c r="G388" s="9"/>
      <c r="J388" s="17"/>
      <c r="K388" s="17"/>
      <c r="N388" s="10"/>
    </row>
    <row r="389" spans="5:14" x14ac:dyDescent="0.2">
      <c r="E389" s="10"/>
      <c r="F389" s="53"/>
      <c r="G389" s="9"/>
      <c r="J389" s="17"/>
      <c r="K389" s="17"/>
      <c r="N389" s="10"/>
    </row>
    <row r="390" spans="5:14" x14ac:dyDescent="0.2">
      <c r="E390" s="10"/>
      <c r="F390" s="53"/>
      <c r="G390" s="9"/>
      <c r="J390" s="17"/>
      <c r="K390" s="17"/>
      <c r="N390" s="10"/>
    </row>
    <row r="391" spans="5:14" x14ac:dyDescent="0.2">
      <c r="E391" s="10"/>
      <c r="F391" s="53"/>
      <c r="G391" s="9"/>
      <c r="J391" s="17"/>
      <c r="K391" s="17"/>
      <c r="N391" s="10"/>
    </row>
    <row r="392" spans="5:14" x14ac:dyDescent="0.2">
      <c r="E392" s="10"/>
      <c r="F392" s="53"/>
      <c r="G392" s="9"/>
      <c r="J392" s="17"/>
      <c r="K392" s="17"/>
      <c r="N392" s="10"/>
    </row>
    <row r="393" spans="5:14" x14ac:dyDescent="0.2">
      <c r="E393" s="10"/>
      <c r="F393" s="53"/>
      <c r="G393" s="9"/>
      <c r="J393" s="17"/>
      <c r="K393" s="17"/>
      <c r="N393" s="10"/>
    </row>
    <row r="394" spans="5:14" x14ac:dyDescent="0.2">
      <c r="E394" s="10"/>
      <c r="F394" s="53"/>
      <c r="G394" s="9"/>
      <c r="J394" s="17"/>
      <c r="K394" s="17"/>
      <c r="N394" s="10"/>
    </row>
    <row r="395" spans="5:14" x14ac:dyDescent="0.2">
      <c r="E395" s="10"/>
      <c r="F395" s="53"/>
      <c r="G395" s="9"/>
      <c r="J395" s="17"/>
      <c r="K395" s="17"/>
      <c r="N395" s="10"/>
    </row>
    <row r="396" spans="5:14" x14ac:dyDescent="0.2">
      <c r="E396" s="10"/>
      <c r="F396" s="53"/>
      <c r="G396" s="9"/>
      <c r="J396" s="17"/>
      <c r="K396" s="17"/>
      <c r="N396" s="10"/>
    </row>
    <row r="397" spans="5:14" x14ac:dyDescent="0.2">
      <c r="E397" s="10"/>
      <c r="F397" s="53"/>
      <c r="G397" s="9"/>
      <c r="J397" s="17"/>
      <c r="K397" s="17"/>
      <c r="N397" s="10"/>
    </row>
    <row r="398" spans="5:14" x14ac:dyDescent="0.2">
      <c r="E398" s="10"/>
      <c r="F398" s="53"/>
      <c r="G398" s="9"/>
      <c r="J398" s="17"/>
      <c r="K398" s="17"/>
      <c r="N398" s="10"/>
    </row>
    <row r="399" spans="5:14" x14ac:dyDescent="0.2">
      <c r="E399" s="10"/>
      <c r="F399" s="53"/>
      <c r="G399" s="9"/>
      <c r="J399" s="17"/>
      <c r="K399" s="17"/>
      <c r="N399" s="10"/>
    </row>
    <row r="400" spans="5:14" x14ac:dyDescent="0.2">
      <c r="E400" s="10"/>
      <c r="F400" s="53"/>
      <c r="G400" s="9"/>
      <c r="J400" s="17"/>
      <c r="K400" s="17"/>
      <c r="N400" s="10"/>
    </row>
    <row r="401" spans="5:14" x14ac:dyDescent="0.2">
      <c r="E401" s="10"/>
      <c r="F401" s="53"/>
      <c r="G401" s="9"/>
      <c r="J401" s="17"/>
      <c r="K401" s="17"/>
      <c r="N401" s="10"/>
    </row>
    <row r="402" spans="5:14" x14ac:dyDescent="0.2">
      <c r="E402" s="10"/>
      <c r="F402" s="53"/>
      <c r="G402" s="9"/>
      <c r="J402" s="17"/>
      <c r="K402" s="17"/>
      <c r="N402" s="10"/>
    </row>
    <row r="403" spans="5:14" x14ac:dyDescent="0.2">
      <c r="E403" s="10"/>
      <c r="F403" s="53"/>
      <c r="G403" s="9"/>
      <c r="J403" s="17"/>
      <c r="K403" s="17"/>
      <c r="N403" s="10"/>
    </row>
    <row r="404" spans="5:14" x14ac:dyDescent="0.2">
      <c r="E404" s="10"/>
      <c r="F404" s="53"/>
      <c r="G404" s="9"/>
      <c r="J404" s="17"/>
      <c r="K404" s="17"/>
      <c r="N404" s="10"/>
    </row>
    <row r="405" spans="5:14" x14ac:dyDescent="0.2">
      <c r="E405" s="10"/>
      <c r="F405" s="53"/>
      <c r="G405" s="9"/>
      <c r="J405" s="17"/>
      <c r="K405" s="17"/>
      <c r="N405" s="10"/>
    </row>
    <row r="406" spans="5:14" x14ac:dyDescent="0.2">
      <c r="E406" s="10"/>
      <c r="F406" s="53"/>
      <c r="G406" s="9"/>
      <c r="J406" s="17"/>
      <c r="K406" s="17"/>
      <c r="N406" s="10"/>
    </row>
    <row r="407" spans="5:14" x14ac:dyDescent="0.2">
      <c r="E407" s="10"/>
      <c r="F407" s="53"/>
      <c r="G407" s="9"/>
      <c r="J407" s="17"/>
      <c r="K407" s="17"/>
      <c r="N407" s="10"/>
    </row>
    <row r="408" spans="5:14" x14ac:dyDescent="0.2">
      <c r="E408" s="10"/>
      <c r="F408" s="53"/>
      <c r="G408" s="9"/>
      <c r="J408" s="17"/>
      <c r="K408" s="17"/>
      <c r="N408" s="10"/>
    </row>
    <row r="409" spans="5:14" x14ac:dyDescent="0.2">
      <c r="E409" s="10"/>
      <c r="F409" s="53"/>
      <c r="G409" s="9"/>
      <c r="J409" s="17"/>
      <c r="K409" s="17"/>
      <c r="N409" s="10"/>
    </row>
    <row r="410" spans="5:14" x14ac:dyDescent="0.2">
      <c r="E410" s="10"/>
      <c r="F410" s="53"/>
      <c r="G410" s="9"/>
      <c r="J410" s="17"/>
      <c r="K410" s="17"/>
      <c r="N410" s="10"/>
    </row>
    <row r="411" spans="5:14" x14ac:dyDescent="0.2">
      <c r="E411" s="10"/>
      <c r="F411" s="53"/>
      <c r="G411" s="9"/>
      <c r="J411" s="17"/>
      <c r="K411" s="17"/>
      <c r="N411" s="10"/>
    </row>
    <row r="412" spans="5:14" x14ac:dyDescent="0.2">
      <c r="E412" s="10"/>
      <c r="F412" s="53"/>
      <c r="G412" s="9"/>
      <c r="J412" s="17"/>
      <c r="K412" s="17"/>
      <c r="N412" s="10"/>
    </row>
    <row r="413" spans="5:14" x14ac:dyDescent="0.2">
      <c r="E413" s="10"/>
      <c r="F413" s="53"/>
      <c r="G413" s="9"/>
      <c r="J413" s="17"/>
      <c r="K413" s="17"/>
      <c r="N413" s="10"/>
    </row>
    <row r="414" spans="5:14" x14ac:dyDescent="0.2">
      <c r="E414" s="10"/>
      <c r="F414" s="53"/>
      <c r="G414" s="9"/>
      <c r="J414" s="17"/>
      <c r="K414" s="17"/>
      <c r="N414" s="10"/>
    </row>
    <row r="415" spans="5:14" x14ac:dyDescent="0.2">
      <c r="E415" s="10"/>
      <c r="F415" s="53"/>
      <c r="G415" s="9"/>
      <c r="J415" s="17"/>
      <c r="K415" s="17"/>
      <c r="N415" s="10"/>
    </row>
    <row r="416" spans="5:14" x14ac:dyDescent="0.2">
      <c r="E416" s="10"/>
      <c r="F416" s="53"/>
      <c r="G416" s="9"/>
      <c r="J416" s="17"/>
      <c r="K416" s="17"/>
      <c r="N416" s="10"/>
    </row>
    <row r="417" spans="5:14" x14ac:dyDescent="0.2">
      <c r="E417" s="10"/>
      <c r="F417" s="53"/>
      <c r="G417" s="9"/>
      <c r="J417" s="17"/>
      <c r="K417" s="17"/>
      <c r="N417" s="10"/>
    </row>
    <row r="418" spans="5:14" x14ac:dyDescent="0.2">
      <c r="E418" s="10"/>
      <c r="F418" s="53"/>
      <c r="G418" s="9"/>
      <c r="J418" s="17"/>
      <c r="K418" s="17"/>
      <c r="N418" s="10"/>
    </row>
    <row r="419" spans="5:14" x14ac:dyDescent="0.2">
      <c r="E419" s="10"/>
      <c r="F419" s="53"/>
      <c r="G419" s="9"/>
      <c r="J419" s="17"/>
      <c r="K419" s="17"/>
      <c r="N419" s="10"/>
    </row>
    <row r="420" spans="5:14" x14ac:dyDescent="0.2">
      <c r="E420" s="10"/>
      <c r="F420" s="53"/>
      <c r="G420" s="9"/>
      <c r="J420" s="17"/>
      <c r="K420" s="17"/>
      <c r="N420" s="10"/>
    </row>
    <row r="421" spans="5:14" x14ac:dyDescent="0.2">
      <c r="E421" s="10"/>
      <c r="F421" s="53"/>
      <c r="G421" s="9"/>
      <c r="J421" s="17"/>
      <c r="K421" s="17"/>
      <c r="N421" s="10"/>
    </row>
    <row r="422" spans="5:14" x14ac:dyDescent="0.2">
      <c r="E422" s="10"/>
      <c r="F422" s="53"/>
      <c r="G422" s="9"/>
      <c r="J422" s="17"/>
      <c r="K422" s="17"/>
      <c r="N422" s="10"/>
    </row>
    <row r="423" spans="5:14" x14ac:dyDescent="0.2">
      <c r="E423" s="10"/>
      <c r="F423" s="53"/>
      <c r="G423" s="9"/>
      <c r="J423" s="17"/>
      <c r="K423" s="17"/>
      <c r="N423" s="10"/>
    </row>
    <row r="424" spans="5:14" x14ac:dyDescent="0.2">
      <c r="E424" s="10"/>
      <c r="F424" s="53"/>
      <c r="G424" s="9"/>
      <c r="J424" s="17"/>
      <c r="K424" s="17"/>
      <c r="N424" s="10"/>
    </row>
    <row r="425" spans="5:14" x14ac:dyDescent="0.2">
      <c r="E425" s="10"/>
      <c r="F425" s="53"/>
      <c r="G425" s="9"/>
      <c r="J425" s="17"/>
      <c r="K425" s="17"/>
      <c r="N425" s="10"/>
    </row>
    <row r="426" spans="5:14" x14ac:dyDescent="0.2">
      <c r="E426" s="10"/>
      <c r="F426" s="53"/>
      <c r="G426" s="9"/>
      <c r="J426" s="17"/>
      <c r="K426" s="17"/>
      <c r="N426" s="10"/>
    </row>
    <row r="427" spans="5:14" x14ac:dyDescent="0.2">
      <c r="E427" s="10"/>
      <c r="F427" s="53"/>
      <c r="G427" s="9"/>
      <c r="J427" s="17"/>
      <c r="K427" s="17"/>
      <c r="N427" s="10"/>
    </row>
    <row r="428" spans="5:14" x14ac:dyDescent="0.2">
      <c r="E428" s="10"/>
      <c r="F428" s="53"/>
      <c r="G428" s="9"/>
      <c r="J428" s="17"/>
      <c r="K428" s="17"/>
      <c r="N428" s="10"/>
    </row>
    <row r="429" spans="5:14" x14ac:dyDescent="0.2">
      <c r="E429" s="10"/>
      <c r="F429" s="53"/>
      <c r="G429" s="9"/>
      <c r="J429" s="17"/>
      <c r="K429" s="17"/>
      <c r="N429" s="10"/>
    </row>
    <row r="430" spans="5:14" x14ac:dyDescent="0.2">
      <c r="E430" s="10"/>
      <c r="F430" s="53"/>
      <c r="G430" s="9"/>
      <c r="J430" s="17"/>
      <c r="K430" s="17"/>
      <c r="N430" s="10"/>
    </row>
    <row r="431" spans="5:14" x14ac:dyDescent="0.2">
      <c r="E431" s="10"/>
      <c r="F431" s="53"/>
      <c r="G431" s="9"/>
      <c r="J431" s="17"/>
      <c r="K431" s="17"/>
      <c r="N431" s="10"/>
    </row>
    <row r="432" spans="5:14" x14ac:dyDescent="0.2">
      <c r="E432" s="10"/>
      <c r="F432" s="53"/>
      <c r="G432" s="9"/>
      <c r="J432" s="17"/>
      <c r="K432" s="17"/>
      <c r="N432" s="10"/>
    </row>
    <row r="433" spans="5:14" x14ac:dyDescent="0.2">
      <c r="E433" s="10"/>
      <c r="F433" s="53"/>
      <c r="G433" s="9"/>
      <c r="J433" s="17"/>
      <c r="K433" s="17"/>
      <c r="N433" s="10"/>
    </row>
    <row r="434" spans="5:14" x14ac:dyDescent="0.2">
      <c r="E434" s="10"/>
      <c r="F434" s="53"/>
      <c r="G434" s="9"/>
      <c r="J434" s="17"/>
      <c r="K434" s="17"/>
      <c r="N434" s="10"/>
    </row>
    <row r="435" spans="5:14" x14ac:dyDescent="0.2">
      <c r="E435" s="10"/>
      <c r="F435" s="53"/>
      <c r="G435" s="9"/>
      <c r="J435" s="17"/>
      <c r="K435" s="17"/>
      <c r="N435" s="10"/>
    </row>
    <row r="436" spans="5:14" x14ac:dyDescent="0.2">
      <c r="E436" s="10"/>
      <c r="F436" s="53"/>
      <c r="G436" s="9"/>
      <c r="J436" s="17"/>
      <c r="K436" s="17"/>
      <c r="N436" s="10"/>
    </row>
    <row r="437" spans="5:14" x14ac:dyDescent="0.2">
      <c r="E437" s="10"/>
      <c r="F437" s="53"/>
      <c r="G437" s="9"/>
      <c r="J437" s="17"/>
      <c r="K437" s="17"/>
      <c r="N437" s="10"/>
    </row>
    <row r="438" spans="5:14" x14ac:dyDescent="0.2">
      <c r="E438" s="10"/>
      <c r="F438" s="53"/>
      <c r="G438" s="9"/>
      <c r="J438" s="17"/>
      <c r="K438" s="17"/>
      <c r="N438" s="10"/>
    </row>
    <row r="439" spans="5:14" x14ac:dyDescent="0.2">
      <c r="E439" s="10"/>
      <c r="F439" s="53"/>
      <c r="G439" s="9"/>
      <c r="J439" s="17"/>
      <c r="K439" s="17"/>
      <c r="N439" s="10"/>
    </row>
    <row r="440" spans="5:14" x14ac:dyDescent="0.2">
      <c r="E440" s="10"/>
      <c r="F440" s="53"/>
      <c r="G440" s="9"/>
      <c r="J440" s="17"/>
      <c r="K440" s="17"/>
      <c r="N440" s="10"/>
    </row>
    <row r="441" spans="5:14" x14ac:dyDescent="0.2">
      <c r="E441" s="10"/>
      <c r="F441" s="53"/>
      <c r="G441" s="9"/>
      <c r="J441" s="17"/>
      <c r="K441" s="17"/>
      <c r="N441" s="10"/>
    </row>
    <row r="442" spans="5:14" x14ac:dyDescent="0.2">
      <c r="E442" s="10"/>
      <c r="F442" s="53"/>
      <c r="G442" s="9"/>
      <c r="J442" s="17"/>
      <c r="K442" s="17"/>
      <c r="N442" s="10"/>
    </row>
    <row r="443" spans="5:14" x14ac:dyDescent="0.2">
      <c r="E443" s="10"/>
      <c r="F443" s="53"/>
      <c r="G443" s="9"/>
      <c r="J443" s="17"/>
      <c r="K443" s="17"/>
      <c r="N443" s="10"/>
    </row>
    <row r="444" spans="5:14" x14ac:dyDescent="0.2">
      <c r="E444" s="10"/>
      <c r="F444" s="53"/>
      <c r="G444" s="9"/>
      <c r="J444" s="17"/>
      <c r="K444" s="17"/>
      <c r="N444" s="10"/>
    </row>
    <row r="445" spans="5:14" x14ac:dyDescent="0.2">
      <c r="E445" s="10"/>
      <c r="F445" s="53"/>
      <c r="G445" s="9"/>
      <c r="J445" s="17"/>
      <c r="K445" s="17"/>
      <c r="N445" s="10"/>
    </row>
    <row r="446" spans="5:14" x14ac:dyDescent="0.2">
      <c r="E446" s="10"/>
      <c r="F446" s="53"/>
      <c r="G446" s="9"/>
      <c r="J446" s="17"/>
      <c r="K446" s="17"/>
      <c r="N446" s="10"/>
    </row>
    <row r="447" spans="5:14" x14ac:dyDescent="0.2">
      <c r="E447" s="10"/>
      <c r="F447" s="53"/>
      <c r="G447" s="9"/>
      <c r="J447" s="17"/>
      <c r="K447" s="17"/>
      <c r="N447" s="10"/>
    </row>
    <row r="448" spans="5:14" x14ac:dyDescent="0.2">
      <c r="E448" s="10"/>
      <c r="F448" s="53"/>
      <c r="G448" s="9"/>
      <c r="J448" s="17"/>
      <c r="K448" s="17"/>
      <c r="N448" s="10"/>
    </row>
    <row r="449" spans="5:14" x14ac:dyDescent="0.2">
      <c r="E449" s="10"/>
      <c r="F449" s="53"/>
      <c r="G449" s="9"/>
      <c r="J449" s="17"/>
      <c r="K449" s="17"/>
      <c r="N449" s="10"/>
    </row>
    <row r="450" spans="5:14" x14ac:dyDescent="0.2">
      <c r="E450" s="10"/>
      <c r="F450" s="53"/>
      <c r="G450" s="9"/>
      <c r="J450" s="17"/>
      <c r="K450" s="17"/>
      <c r="N450" s="10"/>
    </row>
    <row r="451" spans="5:14" x14ac:dyDescent="0.2">
      <c r="E451" s="10"/>
      <c r="F451" s="53"/>
      <c r="G451" s="9"/>
      <c r="J451" s="17"/>
      <c r="K451" s="17"/>
      <c r="N451" s="10"/>
    </row>
    <row r="452" spans="5:14" x14ac:dyDescent="0.2">
      <c r="E452" s="10"/>
      <c r="F452" s="53"/>
      <c r="G452" s="9"/>
      <c r="J452" s="17"/>
      <c r="K452" s="17"/>
      <c r="N452" s="10"/>
    </row>
    <row r="453" spans="5:14" x14ac:dyDescent="0.2">
      <c r="E453" s="10"/>
      <c r="F453" s="53"/>
      <c r="G453" s="9"/>
      <c r="J453" s="17"/>
      <c r="K453" s="17"/>
      <c r="N453" s="10"/>
    </row>
    <row r="454" spans="5:14" x14ac:dyDescent="0.2">
      <c r="E454" s="10"/>
      <c r="F454" s="53"/>
      <c r="G454" s="9"/>
      <c r="J454" s="17"/>
      <c r="K454" s="17"/>
      <c r="N454" s="10"/>
    </row>
    <row r="455" spans="5:14" x14ac:dyDescent="0.2">
      <c r="E455" s="10"/>
      <c r="F455" s="53"/>
      <c r="G455" s="9"/>
      <c r="J455" s="17"/>
      <c r="K455" s="17"/>
      <c r="N455" s="10"/>
    </row>
    <row r="456" spans="5:14" x14ac:dyDescent="0.2">
      <c r="E456" s="10"/>
      <c r="F456" s="53"/>
      <c r="G456" s="9"/>
      <c r="J456" s="17"/>
      <c r="K456" s="17"/>
      <c r="N456" s="10"/>
    </row>
    <row r="457" spans="5:14" x14ac:dyDescent="0.2">
      <c r="E457" s="10"/>
      <c r="F457" s="53"/>
      <c r="G457" s="9"/>
      <c r="J457" s="17"/>
      <c r="K457" s="17"/>
      <c r="N457" s="10"/>
    </row>
    <row r="458" spans="5:14" x14ac:dyDescent="0.2">
      <c r="E458" s="10"/>
      <c r="F458" s="53"/>
      <c r="G458" s="9"/>
      <c r="J458" s="17"/>
      <c r="K458" s="17"/>
      <c r="N458" s="10"/>
    </row>
    <row r="459" spans="5:14" x14ac:dyDescent="0.2">
      <c r="E459" s="10"/>
      <c r="F459" s="53"/>
      <c r="G459" s="9"/>
      <c r="J459" s="17"/>
      <c r="K459" s="17"/>
      <c r="N459" s="10"/>
    </row>
    <row r="460" spans="5:14" x14ac:dyDescent="0.2">
      <c r="E460" s="10"/>
      <c r="F460" s="53"/>
      <c r="G460" s="9"/>
      <c r="J460" s="17"/>
      <c r="K460" s="17"/>
      <c r="N460" s="10"/>
    </row>
    <row r="461" spans="5:14" x14ac:dyDescent="0.2">
      <c r="E461" s="10"/>
      <c r="F461" s="53"/>
      <c r="G461" s="9"/>
      <c r="J461" s="17"/>
      <c r="K461" s="17"/>
      <c r="N461" s="10"/>
    </row>
    <row r="462" spans="5:14" x14ac:dyDescent="0.2">
      <c r="E462" s="10"/>
      <c r="F462" s="53"/>
      <c r="G462" s="9"/>
      <c r="J462" s="17"/>
      <c r="K462" s="17"/>
      <c r="N462" s="10"/>
    </row>
    <row r="463" spans="5:14" x14ac:dyDescent="0.2">
      <c r="E463" s="10"/>
      <c r="F463" s="53"/>
      <c r="G463" s="9"/>
      <c r="J463" s="17"/>
      <c r="K463" s="17"/>
      <c r="N463" s="10"/>
    </row>
    <row r="464" spans="5:14" x14ac:dyDescent="0.2">
      <c r="E464" s="10"/>
      <c r="F464" s="53"/>
      <c r="G464" s="9"/>
      <c r="J464" s="17"/>
      <c r="K464" s="17"/>
      <c r="N464" s="10"/>
    </row>
    <row r="465" spans="5:14" x14ac:dyDescent="0.2">
      <c r="E465" s="10"/>
      <c r="F465" s="53"/>
      <c r="G465" s="9"/>
      <c r="J465" s="17"/>
      <c r="K465" s="17"/>
      <c r="N465" s="10"/>
    </row>
    <row r="466" spans="5:14" x14ac:dyDescent="0.2">
      <c r="E466" s="10"/>
      <c r="F466" s="53"/>
      <c r="G466" s="9"/>
      <c r="J466" s="17"/>
      <c r="K466" s="17"/>
      <c r="N466" s="10"/>
    </row>
    <row r="467" spans="5:14" x14ac:dyDescent="0.2">
      <c r="E467" s="10"/>
      <c r="F467" s="53"/>
      <c r="G467" s="9"/>
      <c r="J467" s="17"/>
      <c r="K467" s="17"/>
      <c r="N467" s="10"/>
    </row>
    <row r="468" spans="5:14" x14ac:dyDescent="0.2">
      <c r="E468" s="10"/>
      <c r="F468" s="53"/>
      <c r="G468" s="9"/>
      <c r="J468" s="17"/>
      <c r="K468" s="17"/>
      <c r="N468" s="10"/>
    </row>
    <row r="469" spans="5:14" x14ac:dyDescent="0.2">
      <c r="E469" s="10"/>
      <c r="F469" s="53"/>
      <c r="G469" s="9"/>
      <c r="J469" s="17"/>
      <c r="K469" s="17"/>
      <c r="N469" s="10"/>
    </row>
    <row r="470" spans="5:14" x14ac:dyDescent="0.2">
      <c r="E470" s="10"/>
      <c r="F470" s="53"/>
      <c r="G470" s="9"/>
      <c r="J470" s="17"/>
      <c r="K470" s="17"/>
      <c r="N470" s="10"/>
    </row>
    <row r="471" spans="5:14" x14ac:dyDescent="0.2">
      <c r="E471" s="10"/>
      <c r="F471" s="53"/>
      <c r="G471" s="9"/>
      <c r="J471" s="17"/>
      <c r="K471" s="17"/>
      <c r="N471" s="10"/>
    </row>
    <row r="472" spans="5:14" x14ac:dyDescent="0.2">
      <c r="E472" s="10"/>
      <c r="F472" s="53"/>
      <c r="G472" s="9"/>
      <c r="J472" s="17"/>
      <c r="K472" s="17"/>
      <c r="N472" s="10"/>
    </row>
    <row r="473" spans="5:14" x14ac:dyDescent="0.2">
      <c r="E473" s="10"/>
      <c r="F473" s="53"/>
      <c r="G473" s="9"/>
      <c r="J473" s="17"/>
      <c r="K473" s="17"/>
      <c r="N473" s="10"/>
    </row>
    <row r="474" spans="5:14" x14ac:dyDescent="0.2">
      <c r="E474" s="10"/>
      <c r="F474" s="53"/>
      <c r="G474" s="9"/>
      <c r="J474" s="17"/>
      <c r="K474" s="17"/>
      <c r="N474" s="10"/>
    </row>
    <row r="475" spans="5:14" x14ac:dyDescent="0.2">
      <c r="E475" s="10"/>
      <c r="F475" s="53"/>
      <c r="G475" s="9"/>
      <c r="J475" s="17"/>
      <c r="K475" s="17"/>
      <c r="N475" s="10"/>
    </row>
    <row r="476" spans="5:14" x14ac:dyDescent="0.2">
      <c r="E476" s="10"/>
      <c r="F476" s="53"/>
      <c r="G476" s="9"/>
      <c r="J476" s="17"/>
      <c r="K476" s="17"/>
      <c r="N476" s="10"/>
    </row>
    <row r="477" spans="5:14" x14ac:dyDescent="0.2">
      <c r="E477" s="10"/>
      <c r="F477" s="53"/>
      <c r="G477" s="9"/>
      <c r="J477" s="17"/>
      <c r="K477" s="17"/>
      <c r="N477" s="10"/>
    </row>
    <row r="478" spans="5:14" x14ac:dyDescent="0.2">
      <c r="E478" s="10"/>
      <c r="F478" s="53"/>
      <c r="G478" s="9"/>
      <c r="J478" s="17"/>
      <c r="K478" s="17"/>
      <c r="N478" s="10"/>
    </row>
    <row r="479" spans="5:14" x14ac:dyDescent="0.2">
      <c r="E479" s="10"/>
      <c r="F479" s="53"/>
      <c r="G479" s="9"/>
      <c r="J479" s="17"/>
      <c r="K479" s="17"/>
      <c r="N479" s="10"/>
    </row>
    <row r="480" spans="5:14" x14ac:dyDescent="0.2">
      <c r="E480" s="10"/>
      <c r="F480" s="53"/>
      <c r="G480" s="9"/>
      <c r="J480" s="17"/>
      <c r="K480" s="17"/>
      <c r="N480" s="10"/>
    </row>
    <row r="481" spans="5:14" x14ac:dyDescent="0.2">
      <c r="E481" s="10"/>
      <c r="F481" s="53"/>
      <c r="G481" s="9"/>
      <c r="J481" s="17"/>
      <c r="K481" s="17"/>
      <c r="N481" s="10"/>
    </row>
    <row r="482" spans="5:14" x14ac:dyDescent="0.2">
      <c r="E482" s="10"/>
      <c r="F482" s="53"/>
      <c r="G482" s="9"/>
      <c r="J482" s="17"/>
      <c r="K482" s="17"/>
      <c r="N482" s="10"/>
    </row>
    <row r="483" spans="5:14" x14ac:dyDescent="0.2">
      <c r="E483" s="10"/>
      <c r="F483" s="53"/>
      <c r="G483" s="9"/>
      <c r="J483" s="17"/>
      <c r="K483" s="17"/>
      <c r="N483" s="10"/>
    </row>
    <row r="484" spans="5:14" x14ac:dyDescent="0.2">
      <c r="E484" s="10"/>
      <c r="F484" s="53"/>
      <c r="G484" s="9"/>
      <c r="J484" s="17"/>
      <c r="K484" s="17"/>
      <c r="N484" s="10"/>
    </row>
    <row r="485" spans="5:14" x14ac:dyDescent="0.2">
      <c r="E485" s="10"/>
      <c r="F485" s="53"/>
      <c r="G485" s="9"/>
      <c r="J485" s="17"/>
      <c r="K485" s="17"/>
      <c r="N485" s="10"/>
    </row>
    <row r="486" spans="5:14" x14ac:dyDescent="0.2">
      <c r="E486" s="10"/>
      <c r="F486" s="53"/>
      <c r="G486" s="9"/>
      <c r="J486" s="17"/>
      <c r="K486" s="17"/>
      <c r="N486" s="10"/>
    </row>
    <row r="487" spans="5:14" x14ac:dyDescent="0.2">
      <c r="E487" s="10"/>
      <c r="F487" s="53"/>
      <c r="G487" s="9"/>
      <c r="J487" s="17"/>
      <c r="K487" s="17"/>
      <c r="N487" s="10"/>
    </row>
    <row r="488" spans="5:14" x14ac:dyDescent="0.2">
      <c r="E488" s="10"/>
      <c r="F488" s="53"/>
      <c r="G488" s="9"/>
      <c r="J488" s="17"/>
      <c r="K488" s="17"/>
      <c r="N488" s="10"/>
    </row>
    <row r="489" spans="5:14" x14ac:dyDescent="0.2">
      <c r="E489" s="10"/>
      <c r="F489" s="53"/>
      <c r="G489" s="9"/>
      <c r="J489" s="17"/>
      <c r="K489" s="17"/>
      <c r="N489" s="10"/>
    </row>
    <row r="490" spans="5:14" x14ac:dyDescent="0.2">
      <c r="E490" s="10"/>
      <c r="F490" s="53"/>
      <c r="G490" s="9"/>
      <c r="J490" s="17"/>
      <c r="K490" s="17"/>
      <c r="N490" s="10"/>
    </row>
    <row r="491" spans="5:14" x14ac:dyDescent="0.2">
      <c r="E491" s="10"/>
      <c r="F491" s="53"/>
      <c r="G491" s="9"/>
      <c r="J491" s="17"/>
      <c r="K491" s="17"/>
      <c r="N491" s="10"/>
    </row>
    <row r="492" spans="5:14" x14ac:dyDescent="0.2">
      <c r="E492" s="10"/>
      <c r="F492" s="53"/>
      <c r="G492" s="9"/>
      <c r="J492" s="17"/>
      <c r="K492" s="17"/>
      <c r="N492" s="10"/>
    </row>
    <row r="493" spans="5:14" x14ac:dyDescent="0.2">
      <c r="E493" s="10"/>
      <c r="F493" s="53"/>
      <c r="G493" s="9"/>
      <c r="J493" s="17"/>
      <c r="K493" s="17"/>
      <c r="N493" s="10"/>
    </row>
    <row r="494" spans="5:14" x14ac:dyDescent="0.2">
      <c r="E494" s="10"/>
      <c r="F494" s="53"/>
      <c r="G494" s="9"/>
      <c r="J494" s="17"/>
      <c r="K494" s="17"/>
      <c r="N494" s="10"/>
    </row>
    <row r="495" spans="5:14" x14ac:dyDescent="0.2">
      <c r="E495" s="10"/>
      <c r="F495" s="53"/>
      <c r="G495" s="9"/>
      <c r="J495" s="17"/>
      <c r="K495" s="17"/>
      <c r="N495" s="10"/>
    </row>
    <row r="496" spans="5:14" x14ac:dyDescent="0.2">
      <c r="E496" s="10"/>
      <c r="F496" s="53"/>
      <c r="G496" s="9"/>
      <c r="J496" s="17"/>
      <c r="K496" s="17"/>
      <c r="N496" s="10"/>
    </row>
    <row r="497" spans="5:14" x14ac:dyDescent="0.2">
      <c r="E497" s="10"/>
      <c r="F497" s="53"/>
      <c r="G497" s="9"/>
      <c r="J497" s="17"/>
      <c r="K497" s="17"/>
      <c r="N497" s="10"/>
    </row>
    <row r="498" spans="5:14" x14ac:dyDescent="0.2">
      <c r="E498" s="10"/>
      <c r="F498" s="53"/>
      <c r="G498" s="9"/>
      <c r="J498" s="17"/>
      <c r="K498" s="17"/>
      <c r="N498" s="10"/>
    </row>
    <row r="499" spans="5:14" x14ac:dyDescent="0.2">
      <c r="E499" s="10"/>
      <c r="F499" s="53"/>
      <c r="G499" s="9"/>
      <c r="J499" s="17"/>
      <c r="K499" s="17"/>
      <c r="N499" s="10"/>
    </row>
    <row r="500" spans="5:14" x14ac:dyDescent="0.2">
      <c r="E500" s="10"/>
      <c r="F500" s="53"/>
      <c r="G500" s="9"/>
      <c r="J500" s="17"/>
      <c r="K500" s="17"/>
      <c r="N500" s="10"/>
    </row>
    <row r="501" spans="5:14" x14ac:dyDescent="0.2">
      <c r="E501" s="10"/>
      <c r="F501" s="53"/>
      <c r="G501" s="9"/>
      <c r="J501" s="17"/>
      <c r="K501" s="17"/>
      <c r="N501" s="10"/>
    </row>
    <row r="502" spans="5:14" x14ac:dyDescent="0.2">
      <c r="E502" s="10"/>
      <c r="F502" s="53"/>
      <c r="G502" s="9"/>
      <c r="J502" s="17"/>
      <c r="K502" s="17"/>
      <c r="N502" s="10"/>
    </row>
    <row r="503" spans="5:14" x14ac:dyDescent="0.2">
      <c r="E503" s="10"/>
      <c r="F503" s="53"/>
      <c r="G503" s="9"/>
      <c r="J503" s="17"/>
      <c r="K503" s="17"/>
      <c r="N503" s="10"/>
    </row>
    <row r="504" spans="5:14" x14ac:dyDescent="0.2">
      <c r="E504" s="10"/>
      <c r="F504" s="53"/>
      <c r="G504" s="9"/>
      <c r="J504" s="17"/>
      <c r="K504" s="17"/>
      <c r="N504" s="10"/>
    </row>
    <row r="505" spans="5:14" x14ac:dyDescent="0.2">
      <c r="E505" s="10"/>
      <c r="F505" s="53"/>
      <c r="G505" s="9"/>
      <c r="J505" s="17"/>
      <c r="K505" s="17"/>
      <c r="N505" s="10"/>
    </row>
    <row r="506" spans="5:14" x14ac:dyDescent="0.2">
      <c r="E506" s="10"/>
      <c r="F506" s="53"/>
      <c r="G506" s="9"/>
      <c r="J506" s="17"/>
      <c r="K506" s="17"/>
      <c r="N506" s="10"/>
    </row>
    <row r="507" spans="5:14" x14ac:dyDescent="0.2">
      <c r="E507" s="10"/>
      <c r="F507" s="53"/>
      <c r="G507" s="9"/>
      <c r="J507" s="17"/>
      <c r="K507" s="17"/>
      <c r="N507" s="10"/>
    </row>
    <row r="508" spans="5:14" x14ac:dyDescent="0.2">
      <c r="E508" s="10"/>
      <c r="F508" s="53"/>
      <c r="G508" s="9"/>
      <c r="J508" s="17"/>
      <c r="K508" s="17"/>
      <c r="N508" s="10"/>
    </row>
    <row r="509" spans="5:14" x14ac:dyDescent="0.2">
      <c r="E509" s="10"/>
      <c r="F509" s="53"/>
      <c r="G509" s="9"/>
      <c r="J509" s="17"/>
      <c r="K509" s="17"/>
      <c r="N509" s="10"/>
    </row>
    <row r="510" spans="5:14" x14ac:dyDescent="0.2">
      <c r="E510" s="10"/>
      <c r="F510" s="53"/>
      <c r="G510" s="9"/>
      <c r="J510" s="17"/>
      <c r="K510" s="17"/>
      <c r="N510" s="10"/>
    </row>
    <row r="511" spans="5:14" x14ac:dyDescent="0.2">
      <c r="E511" s="10"/>
      <c r="F511" s="53"/>
      <c r="G511" s="9"/>
      <c r="J511" s="17"/>
      <c r="K511" s="17"/>
      <c r="N511" s="10"/>
    </row>
    <row r="512" spans="5:14" x14ac:dyDescent="0.2">
      <c r="E512" s="10"/>
      <c r="F512" s="53"/>
      <c r="G512" s="9"/>
      <c r="J512" s="17"/>
      <c r="K512" s="17"/>
      <c r="N512" s="10"/>
    </row>
    <row r="513" spans="5:14" x14ac:dyDescent="0.2">
      <c r="E513" s="10"/>
      <c r="F513" s="53"/>
      <c r="G513" s="9"/>
      <c r="J513" s="17"/>
      <c r="K513" s="17"/>
      <c r="N513" s="10"/>
    </row>
    <row r="514" spans="5:14" x14ac:dyDescent="0.2">
      <c r="E514" s="10"/>
      <c r="F514" s="53"/>
      <c r="G514" s="9"/>
      <c r="J514" s="17"/>
      <c r="K514" s="17"/>
      <c r="N514" s="10"/>
    </row>
    <row r="515" spans="5:14" x14ac:dyDescent="0.2">
      <c r="E515" s="10"/>
      <c r="F515" s="53"/>
      <c r="G515" s="9"/>
      <c r="J515" s="17"/>
      <c r="K515" s="17"/>
      <c r="N515" s="10"/>
    </row>
    <row r="516" spans="5:14" x14ac:dyDescent="0.2">
      <c r="E516" s="10"/>
      <c r="F516" s="53"/>
      <c r="G516" s="9"/>
      <c r="J516" s="17"/>
      <c r="K516" s="17"/>
      <c r="N516" s="10"/>
    </row>
    <row r="517" spans="5:14" x14ac:dyDescent="0.2">
      <c r="E517" s="10"/>
      <c r="F517" s="53"/>
      <c r="G517" s="9"/>
      <c r="J517" s="17"/>
      <c r="K517" s="17"/>
      <c r="N517" s="10"/>
    </row>
    <row r="518" spans="5:14" x14ac:dyDescent="0.2">
      <c r="E518" s="10"/>
      <c r="F518" s="53"/>
      <c r="G518" s="9"/>
      <c r="J518" s="17"/>
      <c r="K518" s="17"/>
      <c r="N518" s="10"/>
    </row>
    <row r="519" spans="5:14" x14ac:dyDescent="0.2">
      <c r="E519" s="10"/>
      <c r="F519" s="53"/>
      <c r="G519" s="9"/>
      <c r="J519" s="17"/>
      <c r="K519" s="17"/>
      <c r="N519" s="10"/>
    </row>
    <row r="520" spans="5:14" x14ac:dyDescent="0.2">
      <c r="E520" s="10"/>
      <c r="F520" s="53"/>
      <c r="G520" s="9"/>
      <c r="J520" s="17"/>
      <c r="K520" s="17"/>
      <c r="N520" s="10"/>
    </row>
    <row r="521" spans="5:14" x14ac:dyDescent="0.2">
      <c r="E521" s="10"/>
      <c r="F521" s="53"/>
      <c r="G521" s="9"/>
      <c r="J521" s="17"/>
      <c r="K521" s="17"/>
      <c r="N521" s="10"/>
    </row>
    <row r="522" spans="5:14" x14ac:dyDescent="0.2">
      <c r="E522" s="10"/>
      <c r="F522" s="53"/>
      <c r="G522" s="9"/>
      <c r="J522" s="17"/>
      <c r="K522" s="17"/>
      <c r="N522" s="10"/>
    </row>
    <row r="523" spans="5:14" x14ac:dyDescent="0.2">
      <c r="E523" s="10"/>
      <c r="F523" s="53"/>
      <c r="G523" s="9"/>
      <c r="J523" s="17"/>
      <c r="K523" s="17"/>
      <c r="N523" s="10"/>
    </row>
    <row r="524" spans="5:14" x14ac:dyDescent="0.2">
      <c r="E524" s="10"/>
      <c r="F524" s="53"/>
      <c r="G524" s="9"/>
      <c r="J524" s="17"/>
      <c r="K524" s="17"/>
      <c r="N524" s="10"/>
    </row>
    <row r="525" spans="5:14" x14ac:dyDescent="0.2">
      <c r="E525" s="10"/>
      <c r="F525" s="53"/>
      <c r="G525" s="9"/>
      <c r="J525" s="17"/>
      <c r="K525" s="17"/>
      <c r="N525" s="10"/>
    </row>
    <row r="526" spans="5:14" x14ac:dyDescent="0.2">
      <c r="E526" s="10"/>
      <c r="F526" s="53"/>
      <c r="G526" s="9"/>
      <c r="J526" s="17"/>
      <c r="K526" s="17"/>
      <c r="N526" s="10"/>
    </row>
    <row r="527" spans="5:14" x14ac:dyDescent="0.2">
      <c r="E527" s="10"/>
      <c r="F527" s="53"/>
      <c r="G527" s="9"/>
      <c r="J527" s="17"/>
      <c r="K527" s="17"/>
      <c r="N527" s="10"/>
    </row>
    <row r="528" spans="5:14" x14ac:dyDescent="0.2">
      <c r="E528" s="10"/>
      <c r="F528" s="53"/>
      <c r="G528" s="9"/>
      <c r="J528" s="17"/>
      <c r="K528" s="17"/>
      <c r="N528" s="10"/>
    </row>
    <row r="529" spans="5:14" x14ac:dyDescent="0.2">
      <c r="E529" s="10"/>
      <c r="F529" s="53"/>
      <c r="G529" s="9"/>
      <c r="J529" s="17"/>
      <c r="K529" s="17"/>
      <c r="N529" s="10"/>
    </row>
    <row r="530" spans="5:14" x14ac:dyDescent="0.2">
      <c r="E530" s="10"/>
      <c r="F530" s="53"/>
      <c r="G530" s="9"/>
      <c r="J530" s="17"/>
      <c r="K530" s="17"/>
      <c r="N530" s="10"/>
    </row>
    <row r="531" spans="5:14" x14ac:dyDescent="0.2">
      <c r="E531" s="10"/>
      <c r="F531" s="53"/>
      <c r="G531" s="9"/>
      <c r="J531" s="17"/>
      <c r="K531" s="17"/>
      <c r="N531" s="10"/>
    </row>
    <row r="532" spans="5:14" x14ac:dyDescent="0.2">
      <c r="E532" s="10"/>
      <c r="F532" s="53"/>
      <c r="G532" s="9"/>
      <c r="J532" s="17"/>
      <c r="K532" s="17"/>
      <c r="N532" s="10"/>
    </row>
    <row r="533" spans="5:14" x14ac:dyDescent="0.2">
      <c r="E533" s="10"/>
      <c r="F533" s="53"/>
      <c r="G533" s="9"/>
      <c r="J533" s="17"/>
      <c r="K533" s="17"/>
      <c r="N533" s="10"/>
    </row>
    <row r="534" spans="5:14" x14ac:dyDescent="0.2">
      <c r="E534" s="10"/>
      <c r="F534" s="53"/>
      <c r="G534" s="9"/>
      <c r="J534" s="17"/>
      <c r="K534" s="17"/>
      <c r="N534" s="10"/>
    </row>
    <row r="535" spans="5:14" x14ac:dyDescent="0.2">
      <c r="E535" s="10"/>
      <c r="F535" s="53"/>
      <c r="G535" s="9"/>
      <c r="J535" s="17"/>
      <c r="K535" s="17"/>
      <c r="N535" s="10"/>
    </row>
    <row r="536" spans="5:14" x14ac:dyDescent="0.2">
      <c r="E536" s="10"/>
      <c r="F536" s="53"/>
      <c r="G536" s="9"/>
      <c r="J536" s="17"/>
      <c r="K536" s="17"/>
      <c r="N536" s="10"/>
    </row>
    <row r="537" spans="5:14" x14ac:dyDescent="0.2">
      <c r="E537" s="10"/>
      <c r="F537" s="53"/>
      <c r="G537" s="9"/>
      <c r="J537" s="17"/>
      <c r="K537" s="17"/>
      <c r="N537" s="10"/>
    </row>
    <row r="538" spans="5:14" x14ac:dyDescent="0.2">
      <c r="E538" s="10"/>
      <c r="F538" s="53"/>
      <c r="G538" s="9"/>
      <c r="J538" s="17"/>
      <c r="K538" s="17"/>
      <c r="N538" s="10"/>
    </row>
    <row r="539" spans="5:14" x14ac:dyDescent="0.2">
      <c r="E539" s="10"/>
      <c r="F539" s="53"/>
      <c r="G539" s="9"/>
      <c r="J539" s="17"/>
      <c r="K539" s="17"/>
      <c r="N539" s="10"/>
    </row>
    <row r="540" spans="5:14" x14ac:dyDescent="0.2">
      <c r="E540" s="10"/>
      <c r="F540" s="53"/>
      <c r="G540" s="9"/>
      <c r="J540" s="17"/>
      <c r="K540" s="17"/>
      <c r="N540" s="10"/>
    </row>
    <row r="541" spans="5:14" x14ac:dyDescent="0.2">
      <c r="E541" s="10"/>
      <c r="F541" s="53"/>
      <c r="G541" s="9"/>
      <c r="J541" s="17"/>
      <c r="K541" s="17"/>
      <c r="N541" s="10"/>
    </row>
    <row r="542" spans="5:14" x14ac:dyDescent="0.2">
      <c r="E542" s="10"/>
      <c r="F542" s="53"/>
      <c r="G542" s="9"/>
      <c r="J542" s="17"/>
      <c r="K542" s="17"/>
      <c r="N542" s="10"/>
    </row>
    <row r="543" spans="5:14" x14ac:dyDescent="0.2">
      <c r="E543" s="10"/>
      <c r="F543" s="53"/>
      <c r="G543" s="9"/>
      <c r="J543" s="17"/>
      <c r="K543" s="17"/>
      <c r="N543" s="10"/>
    </row>
    <row r="544" spans="5:14" x14ac:dyDescent="0.2">
      <c r="E544" s="10"/>
      <c r="F544" s="53"/>
      <c r="G544" s="9"/>
      <c r="J544" s="17"/>
      <c r="K544" s="17"/>
      <c r="N544" s="10"/>
    </row>
    <row r="545" spans="5:14" x14ac:dyDescent="0.2">
      <c r="E545" s="10"/>
      <c r="F545" s="53"/>
      <c r="G545" s="9"/>
      <c r="J545" s="17"/>
      <c r="K545" s="17"/>
      <c r="N545" s="10"/>
    </row>
    <row r="546" spans="5:14" x14ac:dyDescent="0.2">
      <c r="E546" s="10"/>
      <c r="F546" s="53"/>
      <c r="G546" s="9"/>
      <c r="J546" s="17"/>
      <c r="K546" s="17"/>
      <c r="N546" s="10"/>
    </row>
    <row r="547" spans="5:14" x14ac:dyDescent="0.2">
      <c r="E547" s="10"/>
      <c r="F547" s="53"/>
      <c r="G547" s="9"/>
      <c r="J547" s="17"/>
      <c r="K547" s="17"/>
      <c r="N547" s="10"/>
    </row>
    <row r="548" spans="5:14" x14ac:dyDescent="0.2">
      <c r="E548" s="10"/>
      <c r="F548" s="53"/>
      <c r="G548" s="9"/>
      <c r="J548" s="17"/>
      <c r="K548" s="17"/>
      <c r="N548" s="10"/>
    </row>
    <row r="549" spans="5:14" x14ac:dyDescent="0.2">
      <c r="E549" s="10"/>
      <c r="F549" s="53"/>
      <c r="G549" s="9"/>
      <c r="J549" s="17"/>
      <c r="K549" s="17"/>
      <c r="N549" s="10"/>
    </row>
    <row r="550" spans="5:14" x14ac:dyDescent="0.2">
      <c r="E550" s="10"/>
      <c r="F550" s="53"/>
      <c r="G550" s="9"/>
      <c r="J550" s="17"/>
      <c r="K550" s="17"/>
      <c r="N550" s="10"/>
    </row>
    <row r="551" spans="5:14" x14ac:dyDescent="0.2">
      <c r="E551" s="10"/>
      <c r="F551" s="53"/>
      <c r="G551" s="9"/>
      <c r="J551" s="17"/>
      <c r="K551" s="17"/>
      <c r="N551" s="10"/>
    </row>
    <row r="552" spans="5:14" x14ac:dyDescent="0.2">
      <c r="E552" s="10"/>
      <c r="F552" s="53"/>
      <c r="G552" s="9"/>
      <c r="J552" s="17"/>
      <c r="K552" s="17"/>
      <c r="N552" s="10"/>
    </row>
    <row r="553" spans="5:14" x14ac:dyDescent="0.2">
      <c r="E553" s="10"/>
      <c r="F553" s="53"/>
      <c r="G553" s="9"/>
      <c r="J553" s="17"/>
      <c r="K553" s="17"/>
      <c r="N553" s="10"/>
    </row>
    <row r="554" spans="5:14" x14ac:dyDescent="0.2">
      <c r="E554" s="10"/>
      <c r="F554" s="53"/>
      <c r="G554" s="9"/>
      <c r="J554" s="17"/>
      <c r="K554" s="17"/>
      <c r="N554" s="10"/>
    </row>
    <row r="555" spans="5:14" x14ac:dyDescent="0.2">
      <c r="E555" s="10"/>
      <c r="F555" s="53"/>
      <c r="G555" s="9"/>
      <c r="J555" s="17"/>
      <c r="K555" s="17"/>
      <c r="N555" s="10"/>
    </row>
    <row r="556" spans="5:14" x14ac:dyDescent="0.2">
      <c r="E556" s="10"/>
      <c r="F556" s="53"/>
      <c r="G556" s="9"/>
      <c r="J556" s="17"/>
      <c r="K556" s="17"/>
      <c r="N556" s="10"/>
    </row>
    <row r="557" spans="5:14" x14ac:dyDescent="0.2">
      <c r="E557" s="10"/>
      <c r="F557" s="53"/>
      <c r="G557" s="9"/>
      <c r="J557" s="17"/>
      <c r="K557" s="17"/>
      <c r="N557" s="10"/>
    </row>
    <row r="558" spans="5:14" x14ac:dyDescent="0.2">
      <c r="E558" s="10"/>
      <c r="F558" s="53"/>
      <c r="G558" s="9"/>
      <c r="J558" s="17"/>
      <c r="K558" s="17"/>
      <c r="N558" s="10"/>
    </row>
    <row r="559" spans="5:14" x14ac:dyDescent="0.2">
      <c r="E559" s="10"/>
      <c r="F559" s="53"/>
      <c r="G559" s="9"/>
      <c r="J559" s="17"/>
      <c r="K559" s="17"/>
      <c r="N559" s="10"/>
    </row>
    <row r="560" spans="5:14" x14ac:dyDescent="0.2">
      <c r="E560" s="10"/>
      <c r="F560" s="53"/>
      <c r="G560" s="9"/>
      <c r="J560" s="17"/>
      <c r="K560" s="17"/>
      <c r="N560" s="10"/>
    </row>
    <row r="561" spans="5:14" x14ac:dyDescent="0.2">
      <c r="E561" s="10"/>
      <c r="F561" s="53"/>
      <c r="G561" s="9"/>
      <c r="J561" s="17"/>
      <c r="K561" s="17"/>
      <c r="N561" s="10"/>
    </row>
    <row r="562" spans="5:14" x14ac:dyDescent="0.2">
      <c r="E562" s="10"/>
      <c r="F562" s="53"/>
      <c r="G562" s="9"/>
      <c r="J562" s="17"/>
      <c r="K562" s="17"/>
      <c r="N562" s="10"/>
    </row>
    <row r="563" spans="5:14" x14ac:dyDescent="0.2">
      <c r="E563" s="10"/>
      <c r="F563" s="53"/>
      <c r="G563" s="9"/>
      <c r="J563" s="17"/>
      <c r="K563" s="17"/>
      <c r="N563" s="10"/>
    </row>
    <row r="564" spans="5:14" x14ac:dyDescent="0.2">
      <c r="E564" s="10"/>
      <c r="F564" s="53"/>
      <c r="G564" s="9"/>
      <c r="J564" s="17"/>
      <c r="K564" s="17"/>
      <c r="N564" s="10"/>
    </row>
    <row r="565" spans="5:14" x14ac:dyDescent="0.2">
      <c r="E565" s="10"/>
      <c r="F565" s="53"/>
      <c r="G565" s="9"/>
      <c r="J565" s="17"/>
      <c r="K565" s="17"/>
      <c r="N565" s="10"/>
    </row>
    <row r="566" spans="5:14" x14ac:dyDescent="0.2">
      <c r="E566" s="10"/>
      <c r="F566" s="53"/>
      <c r="G566" s="9"/>
      <c r="J566" s="17"/>
      <c r="K566" s="17"/>
      <c r="N566" s="10"/>
    </row>
    <row r="567" spans="5:14" x14ac:dyDescent="0.2">
      <c r="E567" s="10"/>
      <c r="F567" s="53"/>
      <c r="G567" s="9"/>
      <c r="J567" s="17"/>
      <c r="K567" s="17"/>
      <c r="N567" s="10"/>
    </row>
    <row r="568" spans="5:14" x14ac:dyDescent="0.2">
      <c r="E568" s="10"/>
      <c r="F568" s="53"/>
      <c r="G568" s="9"/>
      <c r="J568" s="17"/>
      <c r="K568" s="17"/>
      <c r="N568" s="10"/>
    </row>
    <row r="569" spans="5:14" x14ac:dyDescent="0.2">
      <c r="E569" s="10"/>
      <c r="F569" s="53"/>
      <c r="G569" s="9"/>
      <c r="J569" s="17"/>
      <c r="K569" s="17"/>
      <c r="N569" s="10"/>
    </row>
    <row r="570" spans="5:14" x14ac:dyDescent="0.2">
      <c r="E570" s="10"/>
      <c r="F570" s="53"/>
      <c r="G570" s="9"/>
      <c r="J570" s="17"/>
      <c r="K570" s="17"/>
      <c r="N570" s="10"/>
    </row>
    <row r="571" spans="5:14" x14ac:dyDescent="0.2">
      <c r="E571" s="10"/>
      <c r="F571" s="53"/>
      <c r="G571" s="9"/>
      <c r="J571" s="17"/>
      <c r="K571" s="17"/>
      <c r="N571" s="10"/>
    </row>
    <row r="572" spans="5:14" x14ac:dyDescent="0.2">
      <c r="E572" s="10"/>
      <c r="F572" s="53"/>
      <c r="G572" s="9"/>
      <c r="J572" s="17"/>
      <c r="K572" s="17"/>
      <c r="N572" s="10"/>
    </row>
    <row r="573" spans="5:14" x14ac:dyDescent="0.2">
      <c r="E573" s="10"/>
      <c r="F573" s="53"/>
      <c r="G573" s="9"/>
      <c r="J573" s="17"/>
      <c r="K573" s="17"/>
      <c r="N573" s="10"/>
    </row>
    <row r="574" spans="5:14" x14ac:dyDescent="0.2">
      <c r="E574" s="10"/>
      <c r="F574" s="53"/>
      <c r="G574" s="9"/>
      <c r="J574" s="17"/>
      <c r="K574" s="17"/>
      <c r="N574" s="10"/>
    </row>
    <row r="575" spans="5:14" x14ac:dyDescent="0.2">
      <c r="E575" s="10"/>
      <c r="F575" s="53"/>
      <c r="G575" s="9"/>
      <c r="J575" s="17"/>
      <c r="K575" s="17"/>
      <c r="N575" s="10"/>
    </row>
    <row r="576" spans="5:14" x14ac:dyDescent="0.2">
      <c r="E576" s="10"/>
      <c r="F576" s="53"/>
      <c r="G576" s="9"/>
      <c r="J576" s="17"/>
      <c r="K576" s="17"/>
      <c r="N576" s="10"/>
    </row>
    <row r="577" spans="5:14" x14ac:dyDescent="0.2">
      <c r="E577" s="10"/>
      <c r="F577" s="53"/>
      <c r="G577" s="9"/>
      <c r="J577" s="17"/>
      <c r="K577" s="17"/>
      <c r="N577" s="10"/>
    </row>
    <row r="578" spans="5:14" x14ac:dyDescent="0.2">
      <c r="E578" s="10"/>
      <c r="F578" s="53"/>
      <c r="G578" s="9"/>
      <c r="J578" s="17"/>
      <c r="K578" s="17"/>
      <c r="N578" s="10"/>
    </row>
    <row r="579" spans="5:14" x14ac:dyDescent="0.2">
      <c r="E579" s="10"/>
      <c r="F579" s="53"/>
      <c r="G579" s="9"/>
      <c r="J579" s="17"/>
      <c r="K579" s="17"/>
      <c r="N579" s="10"/>
    </row>
    <row r="580" spans="5:14" x14ac:dyDescent="0.2">
      <c r="E580" s="10"/>
      <c r="F580" s="53"/>
      <c r="G580" s="9"/>
      <c r="J580" s="17"/>
      <c r="K580" s="17"/>
      <c r="N580" s="10"/>
    </row>
    <row r="581" spans="5:14" x14ac:dyDescent="0.2">
      <c r="E581" s="10"/>
      <c r="F581" s="53"/>
      <c r="G581" s="9"/>
      <c r="J581" s="17"/>
      <c r="K581" s="17"/>
      <c r="N581" s="10"/>
    </row>
    <row r="582" spans="5:14" x14ac:dyDescent="0.2">
      <c r="E582" s="10"/>
      <c r="F582" s="53"/>
      <c r="G582" s="9"/>
      <c r="J582" s="17"/>
      <c r="K582" s="17"/>
      <c r="N582" s="10"/>
    </row>
    <row r="583" spans="5:14" x14ac:dyDescent="0.2">
      <c r="E583" s="10"/>
      <c r="F583" s="53"/>
      <c r="G583" s="9"/>
      <c r="J583" s="17"/>
      <c r="K583" s="17"/>
      <c r="N583" s="10"/>
    </row>
    <row r="584" spans="5:14" x14ac:dyDescent="0.2">
      <c r="E584" s="10"/>
      <c r="F584" s="53"/>
      <c r="G584" s="9"/>
      <c r="J584" s="17"/>
      <c r="K584" s="17"/>
      <c r="N584" s="10"/>
    </row>
    <row r="585" spans="5:14" x14ac:dyDescent="0.2">
      <c r="E585" s="10"/>
      <c r="F585" s="53"/>
      <c r="G585" s="9"/>
      <c r="J585" s="17"/>
      <c r="K585" s="17"/>
      <c r="N585" s="10"/>
    </row>
    <row r="586" spans="5:14" x14ac:dyDescent="0.2">
      <c r="E586" s="10"/>
      <c r="F586" s="53"/>
      <c r="G586" s="9"/>
      <c r="J586" s="17"/>
      <c r="K586" s="17"/>
      <c r="N586" s="10"/>
    </row>
    <row r="587" spans="5:14" x14ac:dyDescent="0.2">
      <c r="E587" s="10"/>
      <c r="F587" s="53"/>
      <c r="G587" s="9"/>
      <c r="J587" s="17"/>
      <c r="K587" s="17"/>
      <c r="N587" s="10"/>
    </row>
    <row r="588" spans="5:14" x14ac:dyDescent="0.2">
      <c r="E588" s="10"/>
      <c r="F588" s="53"/>
      <c r="G588" s="9"/>
      <c r="J588" s="17"/>
      <c r="K588" s="17"/>
      <c r="N588" s="10"/>
    </row>
    <row r="589" spans="5:14" x14ac:dyDescent="0.2">
      <c r="E589" s="10"/>
      <c r="F589" s="53"/>
      <c r="G589" s="9"/>
      <c r="J589" s="17"/>
      <c r="K589" s="17"/>
      <c r="N589" s="10"/>
    </row>
    <row r="590" spans="5:14" x14ac:dyDescent="0.2">
      <c r="E590" s="10"/>
      <c r="F590" s="53"/>
      <c r="G590" s="9"/>
      <c r="J590" s="17"/>
      <c r="K590" s="17"/>
      <c r="N590" s="10"/>
    </row>
    <row r="591" spans="5:14" x14ac:dyDescent="0.2">
      <c r="E591" s="10"/>
      <c r="F591" s="53"/>
      <c r="G591" s="9"/>
      <c r="J591" s="17"/>
      <c r="K591" s="17"/>
      <c r="N591" s="10"/>
    </row>
    <row r="592" spans="5:14" x14ac:dyDescent="0.2">
      <c r="E592" s="10"/>
      <c r="F592" s="53"/>
      <c r="G592" s="9"/>
      <c r="J592" s="17"/>
      <c r="K592" s="17"/>
      <c r="N592" s="10"/>
    </row>
    <row r="593" spans="5:14" x14ac:dyDescent="0.2">
      <c r="E593" s="10"/>
      <c r="F593" s="53"/>
      <c r="G593" s="9"/>
      <c r="J593" s="17"/>
      <c r="K593" s="17"/>
      <c r="N593" s="10"/>
    </row>
    <row r="594" spans="5:14" x14ac:dyDescent="0.2">
      <c r="E594" s="10"/>
      <c r="F594" s="53"/>
      <c r="G594" s="9"/>
      <c r="J594" s="17"/>
      <c r="K594" s="17"/>
      <c r="N594" s="10"/>
    </row>
    <row r="595" spans="5:14" x14ac:dyDescent="0.2">
      <c r="E595" s="10"/>
      <c r="F595" s="53"/>
      <c r="G595" s="9"/>
      <c r="J595" s="17"/>
      <c r="K595" s="17"/>
      <c r="N595" s="10"/>
    </row>
    <row r="596" spans="5:14" x14ac:dyDescent="0.2">
      <c r="E596" s="10"/>
      <c r="F596" s="53"/>
      <c r="G596" s="9"/>
      <c r="J596" s="17"/>
      <c r="K596" s="17"/>
      <c r="N596" s="10"/>
    </row>
    <row r="597" spans="5:14" x14ac:dyDescent="0.2">
      <c r="E597" s="10"/>
      <c r="F597" s="53"/>
      <c r="G597" s="9"/>
      <c r="J597" s="17"/>
      <c r="K597" s="17"/>
      <c r="N597" s="10"/>
    </row>
    <row r="598" spans="5:14" x14ac:dyDescent="0.2">
      <c r="E598" s="10"/>
      <c r="F598" s="53"/>
      <c r="G598" s="9"/>
      <c r="J598" s="17"/>
      <c r="K598" s="17"/>
      <c r="N598" s="10"/>
    </row>
    <row r="599" spans="5:14" x14ac:dyDescent="0.2">
      <c r="E599" s="10"/>
      <c r="F599" s="53"/>
      <c r="G599" s="9"/>
      <c r="J599" s="17"/>
      <c r="K599" s="17"/>
      <c r="N599" s="10"/>
    </row>
    <row r="600" spans="5:14" x14ac:dyDescent="0.2">
      <c r="E600" s="10"/>
      <c r="F600" s="53"/>
      <c r="G600" s="9"/>
      <c r="J600" s="17"/>
      <c r="K600" s="17"/>
      <c r="N600" s="10"/>
    </row>
    <row r="601" spans="5:14" x14ac:dyDescent="0.2">
      <c r="E601" s="10"/>
      <c r="F601" s="53"/>
      <c r="G601" s="9"/>
      <c r="J601" s="17"/>
      <c r="K601" s="17"/>
      <c r="N601" s="10"/>
    </row>
    <row r="602" spans="5:14" x14ac:dyDescent="0.2">
      <c r="E602" s="10"/>
      <c r="F602" s="53"/>
      <c r="G602" s="9"/>
      <c r="J602" s="17"/>
      <c r="K602" s="17"/>
      <c r="N602" s="10"/>
    </row>
    <row r="603" spans="5:14" x14ac:dyDescent="0.2">
      <c r="E603" s="10"/>
      <c r="F603" s="53"/>
      <c r="G603" s="9"/>
      <c r="J603" s="17"/>
      <c r="K603" s="17"/>
      <c r="N603" s="10"/>
    </row>
    <row r="604" spans="5:14" x14ac:dyDescent="0.2">
      <c r="E604" s="10"/>
      <c r="F604" s="53"/>
      <c r="G604" s="9"/>
      <c r="J604" s="17"/>
      <c r="K604" s="17"/>
      <c r="N604" s="10"/>
    </row>
    <row r="605" spans="5:14" x14ac:dyDescent="0.2">
      <c r="E605" s="10"/>
      <c r="F605" s="53"/>
      <c r="G605" s="9"/>
      <c r="J605" s="17"/>
      <c r="K605" s="17"/>
      <c r="N605" s="10"/>
    </row>
    <row r="606" spans="5:14" x14ac:dyDescent="0.2">
      <c r="E606" s="10"/>
      <c r="F606" s="53"/>
      <c r="G606" s="9"/>
      <c r="J606" s="17"/>
      <c r="K606" s="17"/>
      <c r="N606" s="10"/>
    </row>
    <row r="607" spans="5:14" x14ac:dyDescent="0.2">
      <c r="E607" s="10"/>
      <c r="F607" s="53"/>
      <c r="G607" s="9"/>
      <c r="J607" s="17"/>
      <c r="K607" s="17"/>
      <c r="N607" s="10"/>
    </row>
    <row r="608" spans="5:14" x14ac:dyDescent="0.2">
      <c r="E608" s="10"/>
      <c r="F608" s="53"/>
      <c r="G608" s="9"/>
      <c r="J608" s="17"/>
      <c r="K608" s="17"/>
      <c r="N608" s="10"/>
    </row>
    <row r="609" spans="5:14" x14ac:dyDescent="0.2">
      <c r="E609" s="10"/>
      <c r="F609" s="53"/>
      <c r="G609" s="9"/>
      <c r="J609" s="17"/>
      <c r="K609" s="17"/>
      <c r="N609" s="10"/>
    </row>
    <row r="610" spans="5:14" x14ac:dyDescent="0.2">
      <c r="E610" s="10"/>
      <c r="F610" s="53"/>
      <c r="G610" s="9"/>
      <c r="J610" s="17"/>
      <c r="K610" s="17"/>
      <c r="N610" s="10"/>
    </row>
    <row r="611" spans="5:14" x14ac:dyDescent="0.2">
      <c r="E611" s="10"/>
      <c r="F611" s="53"/>
      <c r="G611" s="9"/>
      <c r="J611" s="17"/>
      <c r="K611" s="17"/>
      <c r="N611" s="10"/>
    </row>
    <row r="612" spans="5:14" x14ac:dyDescent="0.2">
      <c r="E612" s="10"/>
      <c r="F612" s="53"/>
      <c r="G612" s="9"/>
      <c r="J612" s="17"/>
      <c r="K612" s="17"/>
      <c r="N612" s="10"/>
    </row>
    <row r="613" spans="5:14" x14ac:dyDescent="0.2">
      <c r="E613" s="10"/>
      <c r="F613" s="53"/>
      <c r="G613" s="9"/>
      <c r="J613" s="17"/>
      <c r="K613" s="17"/>
      <c r="N613" s="10"/>
    </row>
    <row r="614" spans="5:14" x14ac:dyDescent="0.2">
      <c r="E614" s="10"/>
      <c r="F614" s="53"/>
      <c r="G614" s="9"/>
      <c r="J614" s="17"/>
      <c r="K614" s="17"/>
      <c r="N614" s="10"/>
    </row>
    <row r="615" spans="5:14" x14ac:dyDescent="0.2">
      <c r="E615" s="10"/>
      <c r="F615" s="53"/>
      <c r="G615" s="9"/>
      <c r="J615" s="17"/>
      <c r="K615" s="17"/>
      <c r="N615" s="10"/>
    </row>
    <row r="616" spans="5:14" x14ac:dyDescent="0.2">
      <c r="E616" s="10"/>
      <c r="F616" s="53"/>
      <c r="G616" s="9"/>
      <c r="J616" s="17"/>
      <c r="K616" s="17"/>
      <c r="N616" s="10"/>
    </row>
    <row r="617" spans="5:14" x14ac:dyDescent="0.2">
      <c r="E617" s="10"/>
      <c r="F617" s="53"/>
      <c r="G617" s="9"/>
      <c r="J617" s="17"/>
      <c r="K617" s="17"/>
      <c r="N617" s="10"/>
    </row>
    <row r="618" spans="5:14" x14ac:dyDescent="0.2">
      <c r="E618" s="10"/>
      <c r="F618" s="53"/>
      <c r="G618" s="9"/>
      <c r="J618" s="17"/>
      <c r="K618" s="17"/>
      <c r="N618" s="10"/>
    </row>
    <row r="619" spans="5:14" x14ac:dyDescent="0.2">
      <c r="E619" s="10"/>
      <c r="F619" s="53"/>
      <c r="G619" s="9"/>
      <c r="J619" s="17"/>
      <c r="K619" s="17"/>
      <c r="N619" s="10"/>
    </row>
    <row r="620" spans="5:14" x14ac:dyDescent="0.2">
      <c r="E620" s="10"/>
      <c r="F620" s="53"/>
      <c r="G620" s="9"/>
      <c r="J620" s="17"/>
      <c r="K620" s="17"/>
      <c r="N620" s="10"/>
    </row>
    <row r="621" spans="5:14" x14ac:dyDescent="0.2">
      <c r="E621" s="10"/>
      <c r="F621" s="53"/>
      <c r="G621" s="9"/>
      <c r="J621" s="17"/>
      <c r="K621" s="17"/>
      <c r="N621" s="10"/>
    </row>
    <row r="622" spans="5:14" x14ac:dyDescent="0.2">
      <c r="E622" s="10"/>
      <c r="F622" s="53"/>
      <c r="G622" s="9"/>
      <c r="J622" s="17"/>
      <c r="K622" s="17"/>
      <c r="N622" s="10"/>
    </row>
    <row r="623" spans="5:14" x14ac:dyDescent="0.2">
      <c r="E623" s="10"/>
      <c r="F623" s="53"/>
      <c r="G623" s="9"/>
      <c r="J623" s="17"/>
      <c r="K623" s="17"/>
      <c r="N623" s="10"/>
    </row>
    <row r="624" spans="5:14" x14ac:dyDescent="0.2">
      <c r="E624" s="10"/>
      <c r="F624" s="53"/>
      <c r="G624" s="9"/>
      <c r="J624" s="17"/>
      <c r="K624" s="17"/>
      <c r="N624" s="10"/>
    </row>
    <row r="625" spans="5:14" x14ac:dyDescent="0.2">
      <c r="E625" s="10"/>
      <c r="F625" s="53"/>
      <c r="G625" s="9"/>
      <c r="J625" s="17"/>
      <c r="K625" s="17"/>
      <c r="N625" s="10"/>
    </row>
    <row r="626" spans="5:14" x14ac:dyDescent="0.2">
      <c r="E626" s="10"/>
      <c r="F626" s="53"/>
      <c r="G626" s="9"/>
      <c r="J626" s="17"/>
      <c r="K626" s="17"/>
      <c r="N626" s="10"/>
    </row>
    <row r="627" spans="5:14" x14ac:dyDescent="0.2">
      <c r="E627" s="10"/>
      <c r="F627" s="53"/>
      <c r="G627" s="9"/>
      <c r="J627" s="17"/>
      <c r="K627" s="17"/>
      <c r="N627" s="10"/>
    </row>
    <row r="628" spans="5:14" x14ac:dyDescent="0.2">
      <c r="E628" s="10"/>
      <c r="F628" s="53"/>
      <c r="G628" s="9"/>
      <c r="J628" s="17"/>
      <c r="K628" s="17"/>
      <c r="N628" s="10"/>
    </row>
    <row r="629" spans="5:14" x14ac:dyDescent="0.2">
      <c r="E629" s="10"/>
      <c r="F629" s="53"/>
      <c r="G629" s="9"/>
      <c r="J629" s="17"/>
      <c r="K629" s="17"/>
      <c r="N629" s="10"/>
    </row>
    <row r="630" spans="5:14" x14ac:dyDescent="0.2">
      <c r="E630" s="10"/>
      <c r="F630" s="53"/>
      <c r="G630" s="9"/>
      <c r="J630" s="17"/>
      <c r="K630" s="17"/>
      <c r="N630" s="10"/>
    </row>
    <row r="631" spans="5:14" x14ac:dyDescent="0.2">
      <c r="E631" s="10"/>
      <c r="F631" s="53"/>
      <c r="G631" s="9"/>
      <c r="J631" s="17"/>
      <c r="K631" s="17"/>
      <c r="N631" s="10"/>
    </row>
    <row r="632" spans="5:14" x14ac:dyDescent="0.2">
      <c r="E632" s="10"/>
      <c r="F632" s="53"/>
      <c r="G632" s="9"/>
      <c r="J632" s="17"/>
      <c r="K632" s="17"/>
      <c r="N632" s="10"/>
    </row>
    <row r="633" spans="5:14" x14ac:dyDescent="0.2">
      <c r="E633" s="10"/>
      <c r="F633" s="53"/>
      <c r="G633" s="9"/>
      <c r="J633" s="17"/>
      <c r="K633" s="17"/>
      <c r="N633" s="10"/>
    </row>
    <row r="634" spans="5:14" x14ac:dyDescent="0.2">
      <c r="E634" s="10"/>
      <c r="F634" s="53"/>
      <c r="G634" s="9"/>
      <c r="J634" s="17"/>
      <c r="K634" s="17"/>
      <c r="N634" s="10"/>
    </row>
    <row r="635" spans="5:14" x14ac:dyDescent="0.2">
      <c r="E635" s="10"/>
      <c r="F635" s="53"/>
      <c r="G635" s="9"/>
      <c r="J635" s="17"/>
      <c r="K635" s="17"/>
      <c r="N635" s="10"/>
    </row>
    <row r="636" spans="5:14" x14ac:dyDescent="0.2">
      <c r="E636" s="10"/>
      <c r="F636" s="53"/>
      <c r="G636" s="9"/>
      <c r="J636" s="17"/>
      <c r="K636" s="17"/>
      <c r="N636" s="10"/>
    </row>
    <row r="637" spans="5:14" x14ac:dyDescent="0.2">
      <c r="E637" s="10"/>
      <c r="F637" s="53"/>
      <c r="G637" s="9"/>
      <c r="J637" s="17"/>
      <c r="K637" s="17"/>
      <c r="N637" s="10"/>
    </row>
    <row r="638" spans="5:14" x14ac:dyDescent="0.2">
      <c r="E638" s="10"/>
      <c r="F638" s="53"/>
      <c r="G638" s="9"/>
      <c r="J638" s="17"/>
      <c r="K638" s="17"/>
      <c r="N638" s="10"/>
    </row>
    <row r="639" spans="5:14" x14ac:dyDescent="0.2">
      <c r="E639" s="10"/>
      <c r="F639" s="53"/>
      <c r="G639" s="9"/>
      <c r="J639" s="17"/>
      <c r="K639" s="17"/>
      <c r="N639" s="10"/>
    </row>
    <row r="640" spans="5:14" x14ac:dyDescent="0.2">
      <c r="E640" s="10"/>
      <c r="F640" s="53"/>
      <c r="G640" s="9"/>
      <c r="J640" s="17"/>
      <c r="K640" s="17"/>
      <c r="N640" s="10"/>
    </row>
    <row r="641" spans="5:14" x14ac:dyDescent="0.2">
      <c r="E641" s="10"/>
      <c r="F641" s="53"/>
      <c r="G641" s="9"/>
      <c r="J641" s="17"/>
      <c r="K641" s="17"/>
      <c r="N641" s="10"/>
    </row>
    <row r="642" spans="5:14" x14ac:dyDescent="0.2">
      <c r="E642" s="10"/>
      <c r="F642" s="53"/>
      <c r="G642" s="9"/>
      <c r="J642" s="17"/>
      <c r="K642" s="17"/>
      <c r="N642" s="10"/>
    </row>
    <row r="643" spans="5:14" x14ac:dyDescent="0.2">
      <c r="E643" s="10"/>
      <c r="F643" s="53"/>
      <c r="G643" s="9"/>
      <c r="J643" s="17"/>
      <c r="K643" s="17"/>
      <c r="N643" s="10"/>
    </row>
    <row r="644" spans="5:14" x14ac:dyDescent="0.2">
      <c r="E644" s="10"/>
      <c r="F644" s="53"/>
      <c r="G644" s="9"/>
      <c r="J644" s="17"/>
      <c r="K644" s="17"/>
      <c r="N644" s="10"/>
    </row>
    <row r="645" spans="5:14" x14ac:dyDescent="0.2">
      <c r="E645" s="10"/>
      <c r="F645" s="53"/>
      <c r="G645" s="9"/>
      <c r="J645" s="17"/>
      <c r="K645" s="17"/>
      <c r="N645" s="10"/>
    </row>
    <row r="646" spans="5:14" x14ac:dyDescent="0.2">
      <c r="E646" s="10"/>
      <c r="F646" s="53"/>
      <c r="G646" s="9"/>
      <c r="J646" s="17"/>
      <c r="K646" s="17"/>
      <c r="N646" s="10"/>
    </row>
    <row r="647" spans="5:14" x14ac:dyDescent="0.2">
      <c r="E647" s="10"/>
      <c r="F647" s="53"/>
      <c r="G647" s="9"/>
      <c r="J647" s="17"/>
      <c r="K647" s="17"/>
      <c r="N647" s="10"/>
    </row>
    <row r="648" spans="5:14" x14ac:dyDescent="0.2">
      <c r="E648" s="10"/>
      <c r="F648" s="53"/>
      <c r="G648" s="9"/>
      <c r="J648" s="17"/>
      <c r="K648" s="17"/>
      <c r="N648" s="10"/>
    </row>
    <row r="649" spans="5:14" x14ac:dyDescent="0.2">
      <c r="E649" s="10"/>
      <c r="F649" s="53"/>
      <c r="G649" s="9"/>
      <c r="J649" s="17"/>
      <c r="K649" s="17"/>
      <c r="N649" s="10"/>
    </row>
    <row r="650" spans="5:14" x14ac:dyDescent="0.2">
      <c r="E650" s="10"/>
      <c r="F650" s="53"/>
      <c r="G650" s="9"/>
      <c r="J650" s="17"/>
      <c r="K650" s="17"/>
      <c r="N650" s="10"/>
    </row>
    <row r="651" spans="5:14" x14ac:dyDescent="0.2">
      <c r="E651" s="10"/>
      <c r="F651" s="53"/>
      <c r="G651" s="9"/>
      <c r="J651" s="17"/>
      <c r="K651" s="17"/>
      <c r="N651" s="10"/>
    </row>
    <row r="652" spans="5:14" x14ac:dyDescent="0.2">
      <c r="E652" s="10"/>
      <c r="F652" s="53"/>
      <c r="G652" s="9"/>
      <c r="J652" s="17"/>
      <c r="K652" s="17"/>
      <c r="N652" s="10"/>
    </row>
    <row r="653" spans="5:14" x14ac:dyDescent="0.2">
      <c r="E653" s="10"/>
      <c r="F653" s="53"/>
      <c r="G653" s="9"/>
      <c r="J653" s="17"/>
      <c r="K653" s="17"/>
      <c r="N653" s="10"/>
    </row>
    <row r="654" spans="5:14" x14ac:dyDescent="0.2">
      <c r="E654" s="10"/>
      <c r="F654" s="53"/>
      <c r="G654" s="9"/>
      <c r="J654" s="17"/>
      <c r="K654" s="17"/>
      <c r="N654" s="10"/>
    </row>
    <row r="655" spans="5:14" x14ac:dyDescent="0.2">
      <c r="E655" s="10"/>
      <c r="F655" s="53"/>
      <c r="G655" s="9"/>
      <c r="J655" s="17"/>
      <c r="K655" s="17"/>
      <c r="N655" s="10"/>
    </row>
    <row r="656" spans="5:14" x14ac:dyDescent="0.2">
      <c r="E656" s="10"/>
      <c r="F656" s="53"/>
      <c r="G656" s="9"/>
      <c r="J656" s="17"/>
      <c r="K656" s="17"/>
      <c r="N656" s="10"/>
    </row>
    <row r="657" spans="5:14" x14ac:dyDescent="0.2">
      <c r="E657" s="10"/>
      <c r="F657" s="53"/>
      <c r="G657" s="9"/>
      <c r="J657" s="17"/>
      <c r="K657" s="17"/>
      <c r="N657" s="10"/>
    </row>
    <row r="658" spans="5:14" x14ac:dyDescent="0.2">
      <c r="E658" s="10"/>
      <c r="F658" s="53"/>
      <c r="G658" s="9"/>
      <c r="J658" s="17"/>
      <c r="K658" s="17"/>
      <c r="N658" s="10"/>
    </row>
    <row r="659" spans="5:14" x14ac:dyDescent="0.2">
      <c r="E659" s="10"/>
      <c r="F659" s="53"/>
      <c r="G659" s="9"/>
      <c r="J659" s="17"/>
      <c r="K659" s="17"/>
      <c r="N659" s="10"/>
    </row>
    <row r="660" spans="5:14" x14ac:dyDescent="0.2">
      <c r="E660" s="10"/>
      <c r="F660" s="53"/>
      <c r="G660" s="9"/>
      <c r="J660" s="17"/>
      <c r="K660" s="17"/>
      <c r="N660" s="10"/>
    </row>
    <row r="661" spans="5:14" x14ac:dyDescent="0.2">
      <c r="E661" s="10"/>
      <c r="F661" s="53"/>
      <c r="G661" s="9"/>
      <c r="J661" s="17"/>
      <c r="K661" s="17"/>
      <c r="N661" s="10"/>
    </row>
    <row r="662" spans="5:14" x14ac:dyDescent="0.2">
      <c r="E662" s="10"/>
      <c r="F662" s="53"/>
      <c r="G662" s="9"/>
      <c r="J662" s="17"/>
      <c r="K662" s="17"/>
      <c r="N662" s="10"/>
    </row>
    <row r="663" spans="5:14" x14ac:dyDescent="0.2">
      <c r="E663" s="10"/>
      <c r="F663" s="53"/>
      <c r="G663" s="9"/>
      <c r="J663" s="17"/>
      <c r="K663" s="17"/>
      <c r="N663" s="10"/>
    </row>
    <row r="664" spans="5:14" x14ac:dyDescent="0.2">
      <c r="E664" s="10"/>
      <c r="F664" s="53"/>
      <c r="G664" s="9"/>
      <c r="J664" s="17"/>
      <c r="K664" s="17"/>
      <c r="N664" s="10"/>
    </row>
    <row r="665" spans="5:14" x14ac:dyDescent="0.2">
      <c r="E665" s="10"/>
      <c r="F665" s="53"/>
      <c r="G665" s="9"/>
      <c r="J665" s="17"/>
      <c r="K665" s="17"/>
      <c r="N665" s="10"/>
    </row>
    <row r="666" spans="5:14" x14ac:dyDescent="0.2">
      <c r="E666" s="10"/>
      <c r="F666" s="53"/>
      <c r="G666" s="9"/>
      <c r="J666" s="17"/>
      <c r="K666" s="17"/>
      <c r="N666" s="10"/>
    </row>
    <row r="667" spans="5:14" x14ac:dyDescent="0.2">
      <c r="E667" s="10"/>
      <c r="F667" s="53"/>
      <c r="G667" s="9"/>
      <c r="J667" s="17"/>
      <c r="K667" s="17"/>
      <c r="N667" s="10"/>
    </row>
    <row r="668" spans="5:14" x14ac:dyDescent="0.2">
      <c r="E668" s="10"/>
      <c r="F668" s="53"/>
      <c r="G668" s="9"/>
      <c r="J668" s="17"/>
      <c r="K668" s="17"/>
      <c r="N668" s="10"/>
    </row>
    <row r="669" spans="5:14" x14ac:dyDescent="0.2">
      <c r="E669" s="10"/>
      <c r="F669" s="53"/>
      <c r="G669" s="9"/>
      <c r="J669" s="17"/>
      <c r="K669" s="17"/>
      <c r="N669" s="10"/>
    </row>
    <row r="670" spans="5:14" x14ac:dyDescent="0.2">
      <c r="E670" s="10"/>
      <c r="F670" s="53"/>
      <c r="G670" s="9"/>
      <c r="J670" s="17"/>
      <c r="K670" s="17"/>
      <c r="N670" s="10"/>
    </row>
    <row r="671" spans="5:14" x14ac:dyDescent="0.2">
      <c r="E671" s="10"/>
      <c r="F671" s="53"/>
      <c r="G671" s="9"/>
      <c r="J671" s="17"/>
      <c r="K671" s="17"/>
      <c r="N671" s="10"/>
    </row>
    <row r="672" spans="5:14" x14ac:dyDescent="0.2">
      <c r="E672" s="10"/>
      <c r="F672" s="53"/>
      <c r="G672" s="9"/>
      <c r="J672" s="17"/>
      <c r="K672" s="17"/>
      <c r="N672" s="10"/>
    </row>
    <row r="673" spans="5:14" x14ac:dyDescent="0.2">
      <c r="E673" s="10"/>
      <c r="F673" s="53"/>
      <c r="G673" s="9"/>
      <c r="J673" s="17"/>
      <c r="K673" s="17"/>
      <c r="N673" s="10"/>
    </row>
    <row r="674" spans="5:14" x14ac:dyDescent="0.2">
      <c r="J674" s="17"/>
      <c r="K674" s="17"/>
    </row>
    <row r="675" spans="5:14" ht="12.75" x14ac:dyDescent="0.2">
      <c r="E675" s="54"/>
      <c r="F675" s="55"/>
      <c r="G675" s="56">
        <f>SUM(G9:G674)</f>
        <v>0</v>
      </c>
      <c r="N675" s="54"/>
    </row>
  </sheetData>
  <mergeCells count="5">
    <mergeCell ref="I3:K3"/>
    <mergeCell ref="M3:M4"/>
    <mergeCell ref="B3:B4"/>
    <mergeCell ref="C3:C4"/>
    <mergeCell ref="E3:G3"/>
  </mergeCells>
  <dataValidations count="2">
    <dataValidation type="list" allowBlank="1" showInputMessage="1" showErrorMessage="1" sqref="M17:M19 L24:L672 M55:M672 L21:M22 L9:L20" xr:uid="{4E73F86F-586C-45B2-8AD3-A33D0ECC9BF8}">
      <formula1>Taxes</formula1>
    </dataValidation>
    <dataValidation type="list" allowBlank="1" showInputMessage="1" showErrorMessage="1" sqref="B9:C673" xr:uid="{BD58A83C-50A5-4E2B-92E3-3A775D9DFAFE}">
      <formula1>Compadjust</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30629-7BFF-4F32-A094-872061C44FC9}">
  <dimension ref="A1:M678"/>
  <sheetViews>
    <sheetView showGridLines="0" zoomScale="85" zoomScaleNormal="85" workbookViewId="0">
      <selection activeCell="B10" sqref="B10"/>
    </sheetView>
  </sheetViews>
  <sheetFormatPr defaultColWidth="11.56640625" defaultRowHeight="10.5" x14ac:dyDescent="0.2"/>
  <cols>
    <col min="1" max="1" width="3.62890625" style="17" bestFit="1" customWidth="1"/>
    <col min="2" max="2" width="25.69140625" style="13" customWidth="1"/>
    <col min="3" max="3" width="5.37890625" style="13" bestFit="1" customWidth="1"/>
    <col min="4" max="4" width="0.94140625" style="13" customWidth="1"/>
    <col min="5" max="5" width="15.6015625" style="13" customWidth="1"/>
    <col min="6" max="6" width="12.64453125" style="10" customWidth="1"/>
    <col min="7" max="7" width="17.3515625" style="13" bestFit="1" customWidth="1"/>
    <col min="8" max="8" width="0.94140625" style="13" customWidth="1"/>
    <col min="9" max="9" width="15.6015625" style="13" bestFit="1" customWidth="1"/>
    <col min="10" max="10" width="10.4921875" style="13" bestFit="1" customWidth="1"/>
    <col min="11" max="11" width="15.6015625" style="13" bestFit="1" customWidth="1"/>
    <col min="12" max="12" width="0.94140625" style="13" customWidth="1"/>
    <col min="13" max="13" width="15.87109375" style="13" bestFit="1" customWidth="1"/>
    <col min="14" max="16384" width="11.56640625" style="13"/>
  </cols>
  <sheetData>
    <row r="1" spans="2:13" ht="19.5" x14ac:dyDescent="0.1">
      <c r="B1" s="12" t="s">
        <v>3380</v>
      </c>
      <c r="C1" s="12"/>
      <c r="E1" s="14" t="s">
        <v>60</v>
      </c>
      <c r="F1" s="12" t="s">
        <v>3381</v>
      </c>
      <c r="G1" s="15">
        <v>509766952</v>
      </c>
      <c r="J1" s="12" t="s">
        <v>3382</v>
      </c>
      <c r="K1" s="16">
        <v>2021</v>
      </c>
    </row>
    <row r="2" spans="2:13" x14ac:dyDescent="0.2">
      <c r="B2" s="15"/>
      <c r="C2" s="15"/>
      <c r="F2" s="13"/>
      <c r="J2" s="21"/>
      <c r="M2" s="22"/>
    </row>
    <row r="3" spans="2:13" ht="13.5" customHeight="1" x14ac:dyDescent="0.2">
      <c r="B3" s="427" t="s">
        <v>3383</v>
      </c>
      <c r="C3" s="427" t="s">
        <v>3384</v>
      </c>
      <c r="E3" s="425" t="s">
        <v>3385</v>
      </c>
      <c r="F3" s="426"/>
      <c r="G3" s="427"/>
      <c r="I3" s="425" t="s">
        <v>3386</v>
      </c>
      <c r="J3" s="426"/>
      <c r="K3" s="427"/>
      <c r="M3" s="426" t="s">
        <v>3387</v>
      </c>
    </row>
    <row r="4" spans="2:13" ht="11.25" thickBot="1" x14ac:dyDescent="0.25">
      <c r="B4" s="430"/>
      <c r="C4" s="430"/>
      <c r="E4" s="18" t="s">
        <v>3388</v>
      </c>
      <c r="F4" s="19" t="s">
        <v>3389</v>
      </c>
      <c r="G4" s="27" t="s">
        <v>3390</v>
      </c>
      <c r="I4" s="18" t="s">
        <v>3388</v>
      </c>
      <c r="J4" s="19" t="s">
        <v>3389</v>
      </c>
      <c r="K4" s="27" t="s">
        <v>3390</v>
      </c>
      <c r="M4" s="428"/>
    </row>
    <row r="5" spans="2:13" ht="13.5" customHeight="1" x14ac:dyDescent="0.2">
      <c r="B5" s="193" t="s">
        <v>3391</v>
      </c>
      <c r="C5" s="24"/>
      <c r="E5" s="25">
        <f>SUM(E6:E6)</f>
        <v>0</v>
      </c>
      <c r="F5" s="25">
        <f>SUM(F6:F6)</f>
        <v>0</v>
      </c>
      <c r="G5" s="25">
        <f>SUM(G6:G6)</f>
        <v>0</v>
      </c>
      <c r="I5" s="185">
        <f>SUM(I6:I6)</f>
        <v>9775826920</v>
      </c>
      <c r="J5" s="185">
        <f>SUM(J6:J6)</f>
        <v>0</v>
      </c>
      <c r="K5" s="185">
        <f>SUM(K6:K6)</f>
        <v>9775826920</v>
      </c>
      <c r="L5" s="183"/>
      <c r="M5" s="185">
        <f>SUM(M6:M6)</f>
        <v>-9775826920</v>
      </c>
    </row>
    <row r="6" spans="2:13" x14ac:dyDescent="0.2">
      <c r="B6" s="73" t="s">
        <v>3404</v>
      </c>
      <c r="C6" s="73" t="s">
        <v>3405</v>
      </c>
      <c r="D6" s="74"/>
      <c r="E6" s="57"/>
      <c r="F6" s="57">
        <v>0</v>
      </c>
      <c r="G6" s="57">
        <v>0</v>
      </c>
      <c r="H6" s="74"/>
      <c r="I6" s="192">
        <v>9775826920</v>
      </c>
      <c r="J6" s="192">
        <v>0</v>
      </c>
      <c r="K6" s="192">
        <v>9775826920</v>
      </c>
      <c r="L6" s="194"/>
      <c r="M6" s="192">
        <f t="shared" ref="M6" si="0">G6-K6</f>
        <v>-9775826920</v>
      </c>
    </row>
    <row r="7" spans="2:13" x14ac:dyDescent="0.2">
      <c r="B7" s="33" t="s">
        <v>3399</v>
      </c>
      <c r="C7" s="33"/>
      <c r="E7" s="34">
        <f>E5</f>
        <v>0</v>
      </c>
      <c r="F7" s="34">
        <f t="shared" ref="F7:G7" si="1">F5</f>
        <v>0</v>
      </c>
      <c r="G7" s="34">
        <f t="shared" si="1"/>
        <v>0</v>
      </c>
      <c r="H7" s="21"/>
      <c r="I7" s="186">
        <f t="shared" ref="I7:K7" si="2">I5</f>
        <v>9775826920</v>
      </c>
      <c r="J7" s="186">
        <f t="shared" si="2"/>
        <v>0</v>
      </c>
      <c r="K7" s="186">
        <f t="shared" si="2"/>
        <v>9775826920</v>
      </c>
      <c r="L7" s="187"/>
      <c r="M7" s="186">
        <f t="shared" ref="M7" si="3">M5</f>
        <v>-9775826920</v>
      </c>
    </row>
    <row r="8" spans="2:13" x14ac:dyDescent="0.2">
      <c r="B8" s="15"/>
      <c r="C8" s="15"/>
      <c r="F8" s="32"/>
      <c r="G8" s="32"/>
      <c r="I8" s="32"/>
      <c r="J8" s="32"/>
      <c r="K8" s="32"/>
      <c r="M8" s="32"/>
    </row>
    <row r="9" spans="2:13" x14ac:dyDescent="0.1">
      <c r="E9" s="30"/>
      <c r="F9" s="37"/>
      <c r="G9" s="38"/>
      <c r="I9" s="39"/>
      <c r="J9" s="17"/>
      <c r="K9" s="17"/>
    </row>
    <row r="10" spans="2:13" ht="12.75" x14ac:dyDescent="0.1">
      <c r="B10" s="363" t="s">
        <v>3409</v>
      </c>
      <c r="E10" s="30"/>
      <c r="F10" s="37"/>
      <c r="G10" s="38"/>
      <c r="I10" s="39"/>
      <c r="J10" s="17"/>
      <c r="K10" s="17"/>
    </row>
    <row r="11" spans="2:13" x14ac:dyDescent="0.1">
      <c r="E11" s="30"/>
      <c r="F11" s="42"/>
      <c r="G11" s="38"/>
      <c r="I11" s="39"/>
      <c r="J11" s="17"/>
      <c r="K11" s="17"/>
    </row>
    <row r="12" spans="2:13" x14ac:dyDescent="0.1">
      <c r="E12" s="30"/>
      <c r="F12" s="42"/>
      <c r="G12" s="38"/>
      <c r="I12" s="39"/>
      <c r="J12" s="17"/>
      <c r="K12" s="17"/>
    </row>
    <row r="13" spans="2:13" x14ac:dyDescent="0.1">
      <c r="E13" s="30"/>
      <c r="F13" s="42"/>
      <c r="G13" s="38"/>
      <c r="I13" s="39"/>
      <c r="J13" s="17"/>
      <c r="K13" s="17"/>
    </row>
    <row r="14" spans="2:13" x14ac:dyDescent="0.1">
      <c r="E14" s="30"/>
      <c r="F14" s="42"/>
      <c r="G14" s="38"/>
      <c r="I14" s="39"/>
      <c r="J14" s="17"/>
      <c r="K14" s="17"/>
    </row>
    <row r="15" spans="2:13" x14ac:dyDescent="0.1">
      <c r="E15" s="30"/>
      <c r="F15" s="42"/>
      <c r="G15" s="38"/>
      <c r="I15" s="39"/>
      <c r="J15" s="17"/>
      <c r="K15" s="17"/>
    </row>
    <row r="16" spans="2:13" x14ac:dyDescent="0.1">
      <c r="E16" s="30"/>
      <c r="F16" s="42"/>
      <c r="G16" s="38"/>
      <c r="I16" s="39"/>
      <c r="J16" s="17"/>
      <c r="K16" s="17"/>
    </row>
    <row r="17" spans="5:13" x14ac:dyDescent="0.1">
      <c r="E17" s="30"/>
      <c r="F17" s="42"/>
      <c r="G17" s="38"/>
      <c r="I17" s="39"/>
      <c r="J17" s="17"/>
      <c r="K17" s="17"/>
    </row>
    <row r="18" spans="5:13" x14ac:dyDescent="0.1">
      <c r="E18" s="30"/>
      <c r="F18" s="42"/>
      <c r="G18" s="38"/>
      <c r="I18" s="39"/>
      <c r="J18" s="17"/>
      <c r="K18" s="17"/>
    </row>
    <row r="19" spans="5:13" x14ac:dyDescent="0.1">
      <c r="E19" s="30"/>
      <c r="F19" s="42"/>
      <c r="G19" s="38"/>
      <c r="I19" s="39"/>
      <c r="J19" s="17"/>
      <c r="K19" s="17"/>
    </row>
    <row r="20" spans="5:13" x14ac:dyDescent="0.1">
      <c r="E20" s="30"/>
      <c r="F20" s="42"/>
      <c r="G20" s="38"/>
      <c r="I20" s="39"/>
      <c r="J20" s="17"/>
      <c r="K20" s="17"/>
    </row>
    <row r="21" spans="5:13" x14ac:dyDescent="0.1">
      <c r="E21" s="30"/>
      <c r="F21" s="42"/>
      <c r="G21" s="38"/>
      <c r="I21" s="39"/>
      <c r="J21" s="17"/>
      <c r="K21" s="17"/>
    </row>
    <row r="22" spans="5:13" x14ac:dyDescent="0.1">
      <c r="E22" s="30"/>
      <c r="F22" s="42"/>
      <c r="G22" s="46"/>
      <c r="J22" s="17"/>
      <c r="K22" s="17"/>
      <c r="M22" s="47"/>
    </row>
    <row r="23" spans="5:13" x14ac:dyDescent="0.1">
      <c r="E23" s="30"/>
      <c r="F23" s="42"/>
      <c r="G23" s="50"/>
      <c r="J23" s="17"/>
      <c r="K23" s="17"/>
      <c r="M23" s="17"/>
    </row>
    <row r="24" spans="5:13" x14ac:dyDescent="0.1">
      <c r="E24" s="30"/>
      <c r="F24" s="42"/>
      <c r="G24" s="50"/>
      <c r="J24" s="17"/>
      <c r="K24" s="17"/>
      <c r="M24" s="47"/>
    </row>
    <row r="25" spans="5:13" x14ac:dyDescent="0.1">
      <c r="E25" s="30"/>
      <c r="F25" s="42"/>
      <c r="G25" s="50"/>
      <c r="J25" s="17"/>
      <c r="K25" s="17"/>
      <c r="M25" s="47"/>
    </row>
    <row r="26" spans="5:13" x14ac:dyDescent="0.1">
      <c r="E26" s="30"/>
      <c r="F26" s="42"/>
      <c r="G26" s="50"/>
      <c r="J26" s="17"/>
      <c r="K26" s="17"/>
    </row>
    <row r="27" spans="5:13" x14ac:dyDescent="0.1">
      <c r="E27" s="30"/>
      <c r="F27" s="42"/>
      <c r="G27" s="50"/>
      <c r="J27" s="17"/>
      <c r="K27" s="17"/>
    </row>
    <row r="28" spans="5:13" x14ac:dyDescent="0.1">
      <c r="E28" s="30"/>
      <c r="F28" s="42"/>
      <c r="G28" s="50"/>
      <c r="J28" s="17"/>
      <c r="K28" s="17"/>
    </row>
    <row r="29" spans="5:13" x14ac:dyDescent="0.1">
      <c r="E29" s="30"/>
      <c r="F29" s="42"/>
      <c r="G29" s="50"/>
      <c r="J29" s="17"/>
      <c r="K29" s="17"/>
    </row>
    <row r="30" spans="5:13" x14ac:dyDescent="0.1">
      <c r="E30" s="30"/>
      <c r="F30" s="42"/>
      <c r="G30" s="50"/>
      <c r="J30" s="17"/>
      <c r="K30" s="17"/>
    </row>
    <row r="31" spans="5:13" x14ac:dyDescent="0.1">
      <c r="E31" s="30"/>
      <c r="F31" s="42"/>
      <c r="G31" s="50"/>
      <c r="J31" s="17"/>
      <c r="K31" s="17"/>
    </row>
    <row r="32" spans="5:13" x14ac:dyDescent="0.1">
      <c r="E32" s="30"/>
      <c r="F32" s="42"/>
      <c r="G32" s="50"/>
      <c r="J32" s="17"/>
      <c r="K32" s="17"/>
    </row>
    <row r="33" spans="5:11" x14ac:dyDescent="0.1">
      <c r="E33" s="30"/>
      <c r="F33" s="42"/>
      <c r="G33" s="50"/>
      <c r="J33" s="17"/>
      <c r="K33" s="17"/>
    </row>
    <row r="34" spans="5:11" x14ac:dyDescent="0.1">
      <c r="E34" s="30"/>
      <c r="F34" s="42"/>
      <c r="G34" s="52"/>
      <c r="J34" s="17"/>
      <c r="K34" s="17"/>
    </row>
    <row r="35" spans="5:11" x14ac:dyDescent="0.1">
      <c r="E35" s="30"/>
      <c r="F35" s="42"/>
      <c r="G35" s="52"/>
      <c r="J35" s="17"/>
      <c r="K35" s="17"/>
    </row>
    <row r="36" spans="5:11" x14ac:dyDescent="0.1">
      <c r="E36" s="30"/>
      <c r="F36" s="42"/>
      <c r="G36" s="52"/>
      <c r="J36" s="17"/>
      <c r="K36" s="17"/>
    </row>
    <row r="37" spans="5:11" x14ac:dyDescent="0.1">
      <c r="E37" s="30"/>
      <c r="F37" s="42"/>
      <c r="G37" s="52"/>
      <c r="J37" s="17"/>
      <c r="K37" s="17"/>
    </row>
    <row r="38" spans="5:11" x14ac:dyDescent="0.1">
      <c r="E38" s="30"/>
      <c r="F38" s="42"/>
      <c r="G38" s="52"/>
      <c r="J38" s="17"/>
      <c r="K38" s="17"/>
    </row>
    <row r="39" spans="5:11" x14ac:dyDescent="0.1">
      <c r="E39" s="30"/>
      <c r="F39" s="42"/>
      <c r="G39" s="52"/>
      <c r="J39" s="17"/>
      <c r="K39" s="17"/>
    </row>
    <row r="40" spans="5:11" x14ac:dyDescent="0.1">
      <c r="E40" s="30"/>
      <c r="F40" s="42"/>
      <c r="G40" s="52"/>
      <c r="J40" s="17"/>
      <c r="K40" s="17"/>
    </row>
    <row r="41" spans="5:11" x14ac:dyDescent="0.1">
      <c r="E41" s="30"/>
      <c r="F41" s="42"/>
      <c r="G41" s="52"/>
      <c r="J41" s="17"/>
      <c r="K41" s="17"/>
    </row>
    <row r="42" spans="5:11" x14ac:dyDescent="0.1">
      <c r="E42" s="30"/>
      <c r="F42" s="42"/>
      <c r="G42" s="52"/>
      <c r="J42" s="17"/>
      <c r="K42" s="17"/>
    </row>
    <row r="43" spans="5:11" x14ac:dyDescent="0.1">
      <c r="E43" s="30"/>
      <c r="F43" s="42"/>
      <c r="G43" s="52"/>
      <c r="J43" s="17"/>
      <c r="K43" s="17"/>
    </row>
    <row r="44" spans="5:11" x14ac:dyDescent="0.1">
      <c r="E44" s="30"/>
      <c r="F44" s="42"/>
      <c r="G44" s="52"/>
      <c r="J44" s="17"/>
      <c r="K44" s="17"/>
    </row>
    <row r="45" spans="5:11" x14ac:dyDescent="0.1">
      <c r="E45" s="30"/>
      <c r="F45" s="42"/>
      <c r="G45" s="52"/>
      <c r="J45" s="17"/>
      <c r="K45" s="17"/>
    </row>
    <row r="46" spans="5:11" x14ac:dyDescent="0.1">
      <c r="E46" s="30"/>
      <c r="F46" s="42"/>
      <c r="G46" s="52"/>
      <c r="J46" s="17"/>
      <c r="K46" s="17"/>
    </row>
    <row r="47" spans="5:11" x14ac:dyDescent="0.1">
      <c r="E47" s="30"/>
      <c r="F47" s="42"/>
      <c r="G47" s="52"/>
      <c r="J47" s="17"/>
      <c r="K47" s="17"/>
    </row>
    <row r="48" spans="5:11" x14ac:dyDescent="0.1">
      <c r="E48" s="30"/>
      <c r="F48" s="42"/>
      <c r="G48" s="52"/>
      <c r="J48" s="17"/>
      <c r="K48" s="17"/>
    </row>
    <row r="49" spans="5:11" x14ac:dyDescent="0.1">
      <c r="E49" s="30"/>
      <c r="F49" s="42"/>
      <c r="G49" s="52"/>
      <c r="J49" s="17"/>
      <c r="K49" s="17"/>
    </row>
    <row r="50" spans="5:11" x14ac:dyDescent="0.1">
      <c r="E50" s="30"/>
      <c r="F50" s="42"/>
      <c r="G50" s="52"/>
      <c r="J50" s="17"/>
      <c r="K50" s="17"/>
    </row>
    <row r="51" spans="5:11" x14ac:dyDescent="0.1">
      <c r="E51" s="30"/>
      <c r="F51" s="42"/>
      <c r="G51" s="52"/>
      <c r="J51" s="17"/>
      <c r="K51" s="17"/>
    </row>
    <row r="52" spans="5:11" x14ac:dyDescent="0.1">
      <c r="E52" s="30"/>
      <c r="F52" s="42"/>
      <c r="G52" s="52"/>
      <c r="J52" s="17"/>
      <c r="K52" s="17"/>
    </row>
    <row r="53" spans="5:11" x14ac:dyDescent="0.1">
      <c r="E53" s="30"/>
      <c r="F53" s="42"/>
      <c r="G53" s="52"/>
      <c r="J53" s="17"/>
      <c r="K53" s="17"/>
    </row>
    <row r="54" spans="5:11" x14ac:dyDescent="0.1">
      <c r="E54" s="30"/>
      <c r="F54" s="42"/>
      <c r="G54" s="52"/>
      <c r="J54" s="17"/>
      <c r="K54" s="17"/>
    </row>
    <row r="55" spans="5:11" x14ac:dyDescent="0.1">
      <c r="E55" s="30"/>
      <c r="F55" s="42"/>
      <c r="G55" s="52"/>
      <c r="J55" s="17"/>
      <c r="K55" s="17"/>
    </row>
    <row r="56" spans="5:11" x14ac:dyDescent="0.1">
      <c r="E56" s="30"/>
      <c r="F56" s="42"/>
      <c r="G56" s="52"/>
      <c r="J56" s="17"/>
      <c r="K56" s="17"/>
    </row>
    <row r="57" spans="5:11" x14ac:dyDescent="0.1">
      <c r="E57" s="30"/>
      <c r="F57" s="42"/>
      <c r="G57" s="52"/>
      <c r="J57" s="17"/>
      <c r="K57" s="17"/>
    </row>
    <row r="58" spans="5:11" x14ac:dyDescent="0.1">
      <c r="E58" s="30"/>
      <c r="F58" s="42"/>
      <c r="G58" s="52"/>
      <c r="J58" s="17"/>
      <c r="K58" s="17"/>
    </row>
    <row r="59" spans="5:11" x14ac:dyDescent="0.1">
      <c r="E59" s="30"/>
      <c r="F59" s="42"/>
      <c r="G59" s="52"/>
      <c r="J59" s="17"/>
      <c r="K59" s="17"/>
    </row>
    <row r="60" spans="5:11" x14ac:dyDescent="0.1">
      <c r="E60" s="30"/>
      <c r="F60" s="42"/>
      <c r="G60" s="52"/>
      <c r="J60" s="17"/>
      <c r="K60" s="17"/>
    </row>
    <row r="61" spans="5:11" x14ac:dyDescent="0.1">
      <c r="E61" s="30"/>
      <c r="F61" s="42"/>
      <c r="G61" s="52"/>
      <c r="J61" s="17"/>
      <c r="K61" s="17"/>
    </row>
    <row r="62" spans="5:11" x14ac:dyDescent="0.1">
      <c r="E62" s="30"/>
      <c r="F62" s="42"/>
      <c r="G62" s="52"/>
      <c r="J62" s="17"/>
      <c r="K62" s="17"/>
    </row>
    <row r="63" spans="5:11" x14ac:dyDescent="0.1">
      <c r="E63" s="30"/>
      <c r="F63" s="42"/>
      <c r="G63" s="52"/>
      <c r="J63" s="17"/>
      <c r="K63" s="17"/>
    </row>
    <row r="64" spans="5:11" x14ac:dyDescent="0.1">
      <c r="E64" s="30"/>
      <c r="F64" s="42"/>
      <c r="G64" s="52"/>
      <c r="J64" s="17"/>
      <c r="K64" s="17"/>
    </row>
    <row r="65" spans="5:11" x14ac:dyDescent="0.1">
      <c r="E65" s="30"/>
      <c r="F65" s="42"/>
      <c r="G65" s="52"/>
      <c r="J65" s="17"/>
      <c r="K65" s="17"/>
    </row>
    <row r="66" spans="5:11" x14ac:dyDescent="0.1">
      <c r="E66" s="30"/>
      <c r="F66" s="42"/>
      <c r="G66" s="52"/>
      <c r="J66" s="17"/>
      <c r="K66" s="17"/>
    </row>
    <row r="67" spans="5:11" x14ac:dyDescent="0.1">
      <c r="E67" s="30"/>
      <c r="F67" s="42"/>
      <c r="G67" s="52"/>
      <c r="J67" s="17"/>
      <c r="K67" s="17"/>
    </row>
    <row r="68" spans="5:11" x14ac:dyDescent="0.1">
      <c r="E68" s="30"/>
      <c r="F68" s="42"/>
      <c r="G68" s="52"/>
      <c r="J68" s="17"/>
      <c r="K68" s="17"/>
    </row>
    <row r="69" spans="5:11" x14ac:dyDescent="0.1">
      <c r="E69" s="30"/>
      <c r="F69" s="42"/>
      <c r="G69" s="52"/>
      <c r="J69" s="17"/>
      <c r="K69" s="17"/>
    </row>
    <row r="70" spans="5:11" x14ac:dyDescent="0.1">
      <c r="E70" s="30"/>
      <c r="F70" s="42"/>
      <c r="G70" s="52"/>
      <c r="J70" s="17"/>
      <c r="K70" s="17"/>
    </row>
    <row r="71" spans="5:11" x14ac:dyDescent="0.1">
      <c r="E71" s="30"/>
      <c r="F71" s="42"/>
      <c r="G71" s="52"/>
      <c r="J71" s="17"/>
      <c r="K71" s="17"/>
    </row>
    <row r="72" spans="5:11" x14ac:dyDescent="0.1">
      <c r="E72" s="30"/>
      <c r="F72" s="42"/>
      <c r="G72" s="52"/>
      <c r="J72" s="17"/>
      <c r="K72" s="17"/>
    </row>
    <row r="73" spans="5:11" x14ac:dyDescent="0.1">
      <c r="E73" s="30"/>
      <c r="F73" s="42"/>
      <c r="G73" s="52"/>
      <c r="J73" s="17"/>
      <c r="K73" s="17"/>
    </row>
    <row r="74" spans="5:11" x14ac:dyDescent="0.1">
      <c r="E74" s="30"/>
      <c r="F74" s="42"/>
      <c r="G74" s="52"/>
      <c r="J74" s="17"/>
      <c r="K74" s="17"/>
    </row>
    <row r="75" spans="5:11" x14ac:dyDescent="0.1">
      <c r="E75" s="30"/>
      <c r="F75" s="42"/>
      <c r="G75" s="52"/>
      <c r="J75" s="17"/>
      <c r="K75" s="17"/>
    </row>
    <row r="76" spans="5:11" x14ac:dyDescent="0.1">
      <c r="E76" s="30"/>
      <c r="F76" s="42"/>
      <c r="G76" s="52"/>
      <c r="J76" s="17"/>
      <c r="K76" s="17"/>
    </row>
    <row r="77" spans="5:11" x14ac:dyDescent="0.1">
      <c r="E77" s="30"/>
      <c r="F77" s="42"/>
      <c r="G77" s="52"/>
      <c r="J77" s="17"/>
      <c r="K77" s="17"/>
    </row>
    <row r="78" spans="5:11" x14ac:dyDescent="0.1">
      <c r="E78" s="30"/>
      <c r="F78" s="42"/>
      <c r="G78" s="52"/>
      <c r="J78" s="17"/>
      <c r="K78" s="17"/>
    </row>
    <row r="79" spans="5:11" x14ac:dyDescent="0.1">
      <c r="E79" s="30"/>
      <c r="F79" s="42"/>
      <c r="G79" s="52"/>
      <c r="J79" s="17"/>
      <c r="K79" s="17"/>
    </row>
    <row r="80" spans="5:11" x14ac:dyDescent="0.1">
      <c r="E80" s="30"/>
      <c r="F80" s="42"/>
      <c r="G80" s="52"/>
      <c r="J80" s="17"/>
      <c r="K80" s="17"/>
    </row>
    <row r="81" spans="5:11" x14ac:dyDescent="0.1">
      <c r="E81" s="30"/>
      <c r="F81" s="42"/>
      <c r="G81" s="52"/>
      <c r="J81" s="17"/>
      <c r="K81" s="17"/>
    </row>
    <row r="82" spans="5:11" x14ac:dyDescent="0.1">
      <c r="E82" s="30"/>
      <c r="F82" s="42"/>
      <c r="G82" s="52"/>
      <c r="J82" s="17"/>
      <c r="K82" s="17"/>
    </row>
    <row r="83" spans="5:11" x14ac:dyDescent="0.1">
      <c r="E83" s="30"/>
      <c r="F83" s="42"/>
      <c r="G83" s="52"/>
      <c r="J83" s="17"/>
      <c r="K83" s="17"/>
    </row>
    <row r="84" spans="5:11" x14ac:dyDescent="0.1">
      <c r="E84" s="30"/>
      <c r="F84" s="42"/>
      <c r="G84" s="52"/>
      <c r="J84" s="17"/>
      <c r="K84" s="17"/>
    </row>
    <row r="85" spans="5:11" x14ac:dyDescent="0.1">
      <c r="E85" s="30"/>
      <c r="F85" s="42"/>
      <c r="G85" s="52"/>
      <c r="J85" s="17"/>
      <c r="K85" s="17"/>
    </row>
    <row r="86" spans="5:11" x14ac:dyDescent="0.1">
      <c r="E86" s="30"/>
      <c r="F86" s="42"/>
      <c r="G86" s="52"/>
      <c r="J86" s="17"/>
      <c r="K86" s="17"/>
    </row>
    <row r="87" spans="5:11" x14ac:dyDescent="0.1">
      <c r="E87" s="30"/>
      <c r="F87" s="42"/>
      <c r="G87" s="52"/>
      <c r="J87" s="17"/>
      <c r="K87" s="17"/>
    </row>
    <row r="88" spans="5:11" x14ac:dyDescent="0.1">
      <c r="E88" s="30"/>
      <c r="F88" s="42"/>
      <c r="G88" s="52"/>
      <c r="J88" s="17"/>
      <c r="K88" s="17"/>
    </row>
    <row r="89" spans="5:11" x14ac:dyDescent="0.1">
      <c r="E89" s="30"/>
      <c r="F89" s="42"/>
      <c r="G89" s="52"/>
      <c r="J89" s="17"/>
      <c r="K89" s="17"/>
    </row>
    <row r="90" spans="5:11" x14ac:dyDescent="0.1">
      <c r="E90" s="30"/>
      <c r="F90" s="42"/>
      <c r="G90" s="52"/>
      <c r="J90" s="17"/>
      <c r="K90" s="17"/>
    </row>
    <row r="91" spans="5:11" x14ac:dyDescent="0.1">
      <c r="E91" s="30"/>
      <c r="F91" s="42"/>
      <c r="G91" s="52"/>
      <c r="J91" s="17"/>
      <c r="K91" s="17"/>
    </row>
    <row r="92" spans="5:11" x14ac:dyDescent="0.1">
      <c r="E92" s="30"/>
      <c r="F92" s="42"/>
      <c r="G92" s="52"/>
      <c r="J92" s="17"/>
      <c r="K92" s="17"/>
    </row>
    <row r="93" spans="5:11" x14ac:dyDescent="0.1">
      <c r="E93" s="30"/>
      <c r="F93" s="42"/>
      <c r="G93" s="52"/>
      <c r="J93" s="17"/>
      <c r="K93" s="17"/>
    </row>
    <row r="94" spans="5:11" x14ac:dyDescent="0.1">
      <c r="E94" s="30"/>
      <c r="F94" s="42"/>
      <c r="G94" s="52"/>
      <c r="J94" s="17"/>
      <c r="K94" s="17"/>
    </row>
    <row r="95" spans="5:11" x14ac:dyDescent="0.1">
      <c r="E95" s="30"/>
      <c r="F95" s="42"/>
      <c r="G95" s="52"/>
      <c r="J95" s="17"/>
      <c r="K95" s="17"/>
    </row>
    <row r="96" spans="5:11" x14ac:dyDescent="0.1">
      <c r="E96" s="30"/>
      <c r="F96" s="42"/>
      <c r="G96" s="52"/>
      <c r="J96" s="17"/>
      <c r="K96" s="17"/>
    </row>
    <row r="97" spans="5:11" x14ac:dyDescent="0.1">
      <c r="E97" s="30"/>
      <c r="F97" s="42"/>
      <c r="G97" s="52"/>
      <c r="J97" s="17"/>
      <c r="K97" s="17"/>
    </row>
    <row r="98" spans="5:11" x14ac:dyDescent="0.1">
      <c r="E98" s="30"/>
      <c r="F98" s="42"/>
      <c r="G98" s="52"/>
      <c r="J98" s="17"/>
      <c r="K98" s="17"/>
    </row>
    <row r="99" spans="5:11" x14ac:dyDescent="0.1">
      <c r="E99" s="30"/>
      <c r="F99" s="42"/>
      <c r="G99" s="52"/>
      <c r="J99" s="17"/>
      <c r="K99" s="17"/>
    </row>
    <row r="100" spans="5:11" x14ac:dyDescent="0.1">
      <c r="E100" s="30"/>
      <c r="F100" s="42"/>
      <c r="G100" s="52"/>
      <c r="J100" s="17"/>
      <c r="K100" s="17"/>
    </row>
    <row r="101" spans="5:11" x14ac:dyDescent="0.1">
      <c r="E101" s="30"/>
      <c r="F101" s="42"/>
      <c r="G101" s="52"/>
      <c r="J101" s="17"/>
      <c r="K101" s="17"/>
    </row>
    <row r="102" spans="5:11" x14ac:dyDescent="0.1">
      <c r="E102" s="30"/>
      <c r="F102" s="42"/>
      <c r="G102" s="52"/>
      <c r="J102" s="17"/>
      <c r="K102" s="17"/>
    </row>
    <row r="103" spans="5:11" x14ac:dyDescent="0.1">
      <c r="E103" s="30"/>
      <c r="F103" s="42"/>
      <c r="G103" s="52"/>
      <c r="J103" s="17"/>
      <c r="K103" s="17"/>
    </row>
    <row r="104" spans="5:11" x14ac:dyDescent="0.1">
      <c r="E104" s="30"/>
      <c r="F104" s="42"/>
      <c r="G104" s="52"/>
      <c r="J104" s="17"/>
      <c r="K104" s="17"/>
    </row>
    <row r="105" spans="5:11" x14ac:dyDescent="0.1">
      <c r="E105" s="30"/>
      <c r="F105" s="42"/>
      <c r="G105" s="52"/>
      <c r="J105" s="17"/>
      <c r="K105" s="17"/>
    </row>
    <row r="106" spans="5:11" x14ac:dyDescent="0.1">
      <c r="E106" s="30"/>
      <c r="F106" s="42"/>
      <c r="G106" s="52"/>
      <c r="J106" s="17"/>
      <c r="K106" s="17"/>
    </row>
    <row r="107" spans="5:11" x14ac:dyDescent="0.1">
      <c r="E107" s="30"/>
      <c r="F107" s="42"/>
      <c r="G107" s="52"/>
      <c r="J107" s="17"/>
      <c r="K107" s="17"/>
    </row>
    <row r="108" spans="5:11" x14ac:dyDescent="0.1">
      <c r="E108" s="30"/>
      <c r="F108" s="42"/>
      <c r="G108" s="52"/>
      <c r="J108" s="17"/>
      <c r="K108" s="17"/>
    </row>
    <row r="109" spans="5:11" x14ac:dyDescent="0.1">
      <c r="E109" s="30"/>
      <c r="F109" s="42"/>
      <c r="G109" s="52"/>
      <c r="J109" s="17"/>
      <c r="K109" s="17"/>
    </row>
    <row r="110" spans="5:11" x14ac:dyDescent="0.1">
      <c r="E110" s="30"/>
      <c r="F110" s="42"/>
      <c r="G110" s="52"/>
      <c r="J110" s="17"/>
      <c r="K110" s="17"/>
    </row>
    <row r="111" spans="5:11" x14ac:dyDescent="0.1">
      <c r="E111" s="30"/>
      <c r="F111" s="42"/>
      <c r="G111" s="52"/>
      <c r="J111" s="17"/>
      <c r="K111" s="17"/>
    </row>
    <row r="112" spans="5:11" x14ac:dyDescent="0.1">
      <c r="E112" s="30"/>
      <c r="F112" s="42"/>
      <c r="G112" s="52"/>
      <c r="J112" s="17"/>
      <c r="K112" s="17"/>
    </row>
    <row r="113" spans="5:11" x14ac:dyDescent="0.1">
      <c r="E113" s="30"/>
      <c r="F113" s="42"/>
      <c r="G113" s="52"/>
      <c r="J113" s="17"/>
      <c r="K113" s="17"/>
    </row>
    <row r="114" spans="5:11" x14ac:dyDescent="0.2">
      <c r="E114" s="10"/>
      <c r="F114" s="53"/>
      <c r="G114" s="35"/>
      <c r="J114" s="17"/>
      <c r="K114" s="17"/>
    </row>
    <row r="115" spans="5:11" x14ac:dyDescent="0.2">
      <c r="E115" s="10"/>
      <c r="F115" s="53"/>
      <c r="G115" s="35"/>
      <c r="J115" s="17"/>
      <c r="K115" s="17"/>
    </row>
    <row r="116" spans="5:11" x14ac:dyDescent="0.2">
      <c r="E116" s="10"/>
      <c r="F116" s="53"/>
      <c r="G116" s="35"/>
      <c r="J116" s="17"/>
      <c r="K116" s="17"/>
    </row>
    <row r="117" spans="5:11" x14ac:dyDescent="0.2">
      <c r="E117" s="10"/>
      <c r="F117" s="53"/>
      <c r="G117" s="35"/>
      <c r="J117" s="17"/>
      <c r="K117" s="17"/>
    </row>
    <row r="118" spans="5:11" x14ac:dyDescent="0.2">
      <c r="E118" s="10"/>
      <c r="F118" s="53"/>
      <c r="G118" s="35"/>
      <c r="J118" s="17"/>
      <c r="K118" s="17"/>
    </row>
    <row r="119" spans="5:11" x14ac:dyDescent="0.2">
      <c r="E119" s="10"/>
      <c r="F119" s="53"/>
      <c r="G119" s="35"/>
      <c r="J119" s="17"/>
      <c r="K119" s="17"/>
    </row>
    <row r="120" spans="5:11" x14ac:dyDescent="0.2">
      <c r="E120" s="10"/>
      <c r="F120" s="53"/>
      <c r="G120" s="35"/>
      <c r="J120" s="17"/>
      <c r="K120" s="17"/>
    </row>
    <row r="121" spans="5:11" x14ac:dyDescent="0.2">
      <c r="E121" s="10"/>
      <c r="F121" s="53"/>
      <c r="G121" s="35"/>
      <c r="J121" s="17"/>
      <c r="K121" s="17"/>
    </row>
    <row r="122" spans="5:11" x14ac:dyDescent="0.2">
      <c r="E122" s="10"/>
      <c r="F122" s="53"/>
      <c r="G122" s="35"/>
      <c r="J122" s="17"/>
      <c r="K122" s="17"/>
    </row>
    <row r="123" spans="5:11" x14ac:dyDescent="0.2">
      <c r="E123" s="10"/>
      <c r="F123" s="53"/>
      <c r="G123" s="35"/>
      <c r="J123" s="17"/>
      <c r="K123" s="17"/>
    </row>
    <row r="124" spans="5:11" x14ac:dyDescent="0.2">
      <c r="E124" s="10"/>
      <c r="F124" s="53"/>
      <c r="G124" s="35"/>
      <c r="J124" s="17"/>
      <c r="K124" s="17"/>
    </row>
    <row r="125" spans="5:11" x14ac:dyDescent="0.2">
      <c r="E125" s="10"/>
      <c r="F125" s="53"/>
      <c r="G125" s="35"/>
      <c r="J125" s="17"/>
      <c r="K125" s="17"/>
    </row>
    <row r="126" spans="5:11" x14ac:dyDescent="0.2">
      <c r="E126" s="10"/>
      <c r="F126" s="53"/>
      <c r="G126" s="35"/>
      <c r="J126" s="17"/>
      <c r="K126" s="17"/>
    </row>
    <row r="127" spans="5:11" x14ac:dyDescent="0.2">
      <c r="E127" s="10"/>
      <c r="F127" s="53"/>
      <c r="G127" s="35"/>
      <c r="J127" s="17"/>
      <c r="K127" s="17"/>
    </row>
    <row r="128" spans="5:11" x14ac:dyDescent="0.2">
      <c r="E128" s="10"/>
      <c r="F128" s="53"/>
      <c r="G128" s="35"/>
      <c r="J128" s="17"/>
      <c r="K128" s="17"/>
    </row>
    <row r="129" spans="5:11" x14ac:dyDescent="0.2">
      <c r="E129" s="10"/>
      <c r="F129" s="53"/>
      <c r="G129" s="35"/>
      <c r="J129" s="17"/>
      <c r="K129" s="17"/>
    </row>
    <row r="130" spans="5:11" x14ac:dyDescent="0.2">
      <c r="E130" s="10"/>
      <c r="F130" s="53"/>
      <c r="G130" s="35"/>
      <c r="J130" s="17"/>
      <c r="K130" s="17"/>
    </row>
    <row r="131" spans="5:11" x14ac:dyDescent="0.2">
      <c r="E131" s="10"/>
      <c r="F131" s="53"/>
      <c r="G131" s="35"/>
      <c r="J131" s="17"/>
      <c r="K131" s="17"/>
    </row>
    <row r="132" spans="5:11" x14ac:dyDescent="0.2">
      <c r="E132" s="10"/>
      <c r="F132" s="53"/>
      <c r="G132" s="35"/>
      <c r="J132" s="17"/>
      <c r="K132" s="17"/>
    </row>
    <row r="133" spans="5:11" x14ac:dyDescent="0.2">
      <c r="E133" s="10"/>
      <c r="F133" s="53"/>
      <c r="G133" s="35"/>
      <c r="J133" s="17"/>
      <c r="K133" s="17"/>
    </row>
    <row r="134" spans="5:11" x14ac:dyDescent="0.2">
      <c r="E134" s="10"/>
      <c r="F134" s="53"/>
      <c r="G134" s="35"/>
      <c r="J134" s="17"/>
      <c r="K134" s="17"/>
    </row>
    <row r="135" spans="5:11" x14ac:dyDescent="0.2">
      <c r="E135" s="10"/>
      <c r="F135" s="53"/>
      <c r="G135" s="35"/>
      <c r="J135" s="17"/>
      <c r="K135" s="17"/>
    </row>
    <row r="136" spans="5:11" x14ac:dyDescent="0.2">
      <c r="E136" s="10"/>
      <c r="F136" s="53"/>
      <c r="G136" s="35"/>
      <c r="J136" s="17"/>
      <c r="K136" s="17"/>
    </row>
    <row r="137" spans="5:11" x14ac:dyDescent="0.2">
      <c r="E137" s="10"/>
      <c r="F137" s="53"/>
      <c r="G137" s="35"/>
      <c r="J137" s="17"/>
      <c r="K137" s="17"/>
    </row>
    <row r="138" spans="5:11" x14ac:dyDescent="0.2">
      <c r="E138" s="10"/>
      <c r="F138" s="53"/>
      <c r="G138" s="35"/>
      <c r="J138" s="17"/>
      <c r="K138" s="17"/>
    </row>
    <row r="139" spans="5:11" x14ac:dyDescent="0.2">
      <c r="E139" s="10"/>
      <c r="F139" s="53"/>
      <c r="G139" s="35"/>
      <c r="J139" s="17"/>
      <c r="K139" s="17"/>
    </row>
    <row r="140" spans="5:11" x14ac:dyDescent="0.2">
      <c r="E140" s="10"/>
      <c r="F140" s="53"/>
      <c r="G140" s="35"/>
      <c r="J140" s="17"/>
      <c r="K140" s="17"/>
    </row>
    <row r="141" spans="5:11" x14ac:dyDescent="0.2">
      <c r="E141" s="10"/>
      <c r="F141" s="53"/>
      <c r="G141" s="35"/>
      <c r="J141" s="17"/>
      <c r="K141" s="17"/>
    </row>
    <row r="142" spans="5:11" x14ac:dyDescent="0.2">
      <c r="E142" s="10"/>
      <c r="F142" s="53"/>
      <c r="G142" s="35"/>
      <c r="J142" s="17"/>
      <c r="K142" s="17"/>
    </row>
    <row r="143" spans="5:11" x14ac:dyDescent="0.2">
      <c r="E143" s="10"/>
      <c r="F143" s="53"/>
      <c r="G143" s="35"/>
      <c r="J143" s="17"/>
      <c r="K143" s="17"/>
    </row>
    <row r="144" spans="5:11" x14ac:dyDescent="0.2">
      <c r="E144" s="10"/>
      <c r="F144" s="53"/>
      <c r="G144" s="35"/>
      <c r="J144" s="17"/>
      <c r="K144" s="17"/>
    </row>
    <row r="145" spans="5:11" x14ac:dyDescent="0.2">
      <c r="E145" s="10"/>
      <c r="F145" s="53"/>
      <c r="G145" s="35"/>
      <c r="J145" s="17"/>
      <c r="K145" s="17"/>
    </row>
    <row r="146" spans="5:11" x14ac:dyDescent="0.2">
      <c r="E146" s="10"/>
      <c r="F146" s="53"/>
      <c r="G146" s="35"/>
      <c r="J146" s="17"/>
      <c r="K146" s="17"/>
    </row>
    <row r="147" spans="5:11" x14ac:dyDescent="0.2">
      <c r="E147" s="10"/>
      <c r="F147" s="53"/>
      <c r="G147" s="35"/>
      <c r="J147" s="17"/>
      <c r="K147" s="17"/>
    </row>
    <row r="148" spans="5:11" x14ac:dyDescent="0.2">
      <c r="E148" s="10"/>
      <c r="F148" s="53"/>
      <c r="G148" s="35"/>
      <c r="J148" s="17"/>
      <c r="K148" s="17"/>
    </row>
    <row r="149" spans="5:11" x14ac:dyDescent="0.2">
      <c r="E149" s="10"/>
      <c r="F149" s="53"/>
      <c r="G149" s="35"/>
      <c r="J149" s="17"/>
      <c r="K149" s="17"/>
    </row>
    <row r="150" spans="5:11" x14ac:dyDescent="0.2">
      <c r="E150" s="10"/>
      <c r="F150" s="53"/>
      <c r="G150" s="35"/>
      <c r="J150" s="17"/>
      <c r="K150" s="17"/>
    </row>
    <row r="151" spans="5:11" x14ac:dyDescent="0.2">
      <c r="E151" s="10"/>
      <c r="F151" s="53"/>
      <c r="G151" s="35"/>
      <c r="J151" s="17"/>
      <c r="K151" s="17"/>
    </row>
    <row r="152" spans="5:11" x14ac:dyDescent="0.2">
      <c r="E152" s="10"/>
      <c r="F152" s="53"/>
      <c r="G152" s="35"/>
      <c r="J152" s="17"/>
      <c r="K152" s="17"/>
    </row>
    <row r="153" spans="5:11" x14ac:dyDescent="0.2">
      <c r="E153" s="10"/>
      <c r="F153" s="53"/>
      <c r="G153" s="35"/>
      <c r="J153" s="17"/>
      <c r="K153" s="17"/>
    </row>
    <row r="154" spans="5:11" x14ac:dyDescent="0.2">
      <c r="E154" s="45"/>
      <c r="F154" s="53"/>
      <c r="G154" s="35"/>
      <c r="J154" s="17"/>
      <c r="K154" s="17"/>
    </row>
    <row r="155" spans="5:11" x14ac:dyDescent="0.2">
      <c r="E155" s="45"/>
      <c r="F155" s="53"/>
      <c r="G155" s="35"/>
      <c r="J155" s="17"/>
      <c r="K155" s="17"/>
    </row>
    <row r="156" spans="5:11" x14ac:dyDescent="0.2">
      <c r="E156" s="10"/>
      <c r="F156" s="53"/>
      <c r="G156" s="35"/>
      <c r="J156" s="17"/>
      <c r="K156" s="17"/>
    </row>
    <row r="157" spans="5:11" x14ac:dyDescent="0.2">
      <c r="E157" s="10"/>
      <c r="F157" s="53"/>
      <c r="G157" s="35"/>
      <c r="J157" s="17"/>
      <c r="K157" s="17"/>
    </row>
    <row r="158" spans="5:11" x14ac:dyDescent="0.2">
      <c r="E158" s="10"/>
      <c r="F158" s="53"/>
      <c r="G158" s="35"/>
      <c r="J158" s="17"/>
      <c r="K158" s="17"/>
    </row>
    <row r="159" spans="5:11" x14ac:dyDescent="0.2">
      <c r="E159" s="10"/>
      <c r="F159" s="53"/>
      <c r="G159" s="35"/>
      <c r="J159" s="17"/>
      <c r="K159" s="17"/>
    </row>
    <row r="160" spans="5:11" x14ac:dyDescent="0.2">
      <c r="E160" s="10"/>
      <c r="F160" s="53"/>
      <c r="G160" s="35"/>
      <c r="J160" s="17"/>
      <c r="K160" s="17"/>
    </row>
    <row r="161" spans="5:11" x14ac:dyDescent="0.2">
      <c r="E161" s="10"/>
      <c r="F161" s="53"/>
      <c r="G161" s="35"/>
      <c r="J161" s="17"/>
      <c r="K161" s="17"/>
    </row>
    <row r="162" spans="5:11" x14ac:dyDescent="0.2">
      <c r="E162" s="10"/>
      <c r="F162" s="53"/>
      <c r="G162" s="35"/>
      <c r="J162" s="17"/>
      <c r="K162" s="17"/>
    </row>
    <row r="163" spans="5:11" x14ac:dyDescent="0.2">
      <c r="E163" s="10"/>
      <c r="F163" s="53"/>
      <c r="G163" s="35"/>
      <c r="J163" s="17"/>
      <c r="K163" s="17"/>
    </row>
    <row r="164" spans="5:11" x14ac:dyDescent="0.2">
      <c r="E164" s="10"/>
      <c r="F164" s="53"/>
      <c r="G164" s="35"/>
      <c r="J164" s="17"/>
      <c r="K164" s="17"/>
    </row>
    <row r="165" spans="5:11" x14ac:dyDescent="0.2">
      <c r="E165" s="10"/>
      <c r="F165" s="53"/>
      <c r="G165" s="35"/>
      <c r="J165" s="17"/>
      <c r="K165" s="17"/>
    </row>
    <row r="166" spans="5:11" x14ac:dyDescent="0.2">
      <c r="E166" s="10"/>
      <c r="F166" s="53"/>
      <c r="G166" s="9"/>
      <c r="J166" s="17"/>
      <c r="K166" s="17"/>
    </row>
    <row r="167" spans="5:11" x14ac:dyDescent="0.2">
      <c r="E167" s="10"/>
      <c r="F167" s="53"/>
      <c r="G167" s="9"/>
      <c r="J167" s="17"/>
      <c r="K167" s="17"/>
    </row>
    <row r="168" spans="5:11" x14ac:dyDescent="0.2">
      <c r="E168" s="10"/>
      <c r="F168" s="53"/>
      <c r="G168" s="9"/>
      <c r="J168" s="17"/>
      <c r="K168" s="17"/>
    </row>
    <row r="169" spans="5:11" x14ac:dyDescent="0.2">
      <c r="E169" s="10"/>
      <c r="F169" s="53"/>
      <c r="G169" s="9"/>
      <c r="J169" s="17"/>
      <c r="K169" s="17"/>
    </row>
    <row r="170" spans="5:11" x14ac:dyDescent="0.2">
      <c r="E170" s="10"/>
      <c r="F170" s="53"/>
      <c r="G170" s="9"/>
      <c r="J170" s="17"/>
      <c r="K170" s="17"/>
    </row>
    <row r="171" spans="5:11" x14ac:dyDescent="0.2">
      <c r="E171" s="10"/>
      <c r="F171" s="53"/>
      <c r="G171" s="9"/>
      <c r="J171" s="17"/>
      <c r="K171" s="17"/>
    </row>
    <row r="172" spans="5:11" x14ac:dyDescent="0.2">
      <c r="E172" s="10"/>
      <c r="F172" s="53"/>
      <c r="G172" s="9"/>
      <c r="J172" s="17"/>
      <c r="K172" s="17"/>
    </row>
    <row r="173" spans="5:11" x14ac:dyDescent="0.2">
      <c r="E173" s="10"/>
      <c r="F173" s="53"/>
      <c r="G173" s="9"/>
      <c r="J173" s="17"/>
      <c r="K173" s="17"/>
    </row>
    <row r="174" spans="5:11" x14ac:dyDescent="0.2">
      <c r="E174" s="10"/>
      <c r="F174" s="53"/>
      <c r="G174" s="9"/>
      <c r="J174" s="17"/>
      <c r="K174" s="17"/>
    </row>
    <row r="175" spans="5:11" x14ac:dyDescent="0.2">
      <c r="E175" s="10"/>
      <c r="F175" s="53"/>
      <c r="G175" s="9"/>
      <c r="J175" s="17"/>
      <c r="K175" s="17"/>
    </row>
    <row r="176" spans="5:11" x14ac:dyDescent="0.2">
      <c r="E176" s="10"/>
      <c r="F176" s="53"/>
      <c r="G176" s="9"/>
      <c r="J176" s="17"/>
      <c r="K176" s="17"/>
    </row>
    <row r="177" spans="5:11" x14ac:dyDescent="0.2">
      <c r="E177" s="10"/>
      <c r="F177" s="53"/>
      <c r="G177" s="9"/>
      <c r="J177" s="17"/>
      <c r="K177" s="17"/>
    </row>
    <row r="178" spans="5:11" x14ac:dyDescent="0.2">
      <c r="E178" s="10"/>
      <c r="F178" s="53"/>
      <c r="G178" s="9"/>
      <c r="J178" s="17"/>
      <c r="K178" s="17"/>
    </row>
    <row r="179" spans="5:11" x14ac:dyDescent="0.2">
      <c r="E179" s="10"/>
      <c r="F179" s="53"/>
      <c r="G179" s="9"/>
      <c r="J179" s="17"/>
      <c r="K179" s="17"/>
    </row>
    <row r="180" spans="5:11" x14ac:dyDescent="0.2">
      <c r="E180" s="10"/>
      <c r="F180" s="53"/>
      <c r="G180" s="9"/>
      <c r="J180" s="17"/>
      <c r="K180" s="17"/>
    </row>
    <row r="181" spans="5:11" x14ac:dyDescent="0.2">
      <c r="E181" s="10"/>
      <c r="F181" s="53"/>
      <c r="G181" s="9"/>
      <c r="J181" s="17"/>
      <c r="K181" s="17"/>
    </row>
    <row r="182" spans="5:11" x14ac:dyDescent="0.2">
      <c r="E182" s="10"/>
      <c r="F182" s="53"/>
      <c r="G182" s="9"/>
      <c r="J182" s="17"/>
      <c r="K182" s="17"/>
    </row>
    <row r="183" spans="5:11" x14ac:dyDescent="0.2">
      <c r="E183" s="10"/>
      <c r="F183" s="53"/>
      <c r="G183" s="9"/>
      <c r="J183" s="17"/>
      <c r="K183" s="17"/>
    </row>
    <row r="184" spans="5:11" x14ac:dyDescent="0.2">
      <c r="E184" s="10"/>
      <c r="F184" s="53"/>
      <c r="G184" s="9"/>
      <c r="J184" s="17"/>
      <c r="K184" s="17"/>
    </row>
    <row r="185" spans="5:11" x14ac:dyDescent="0.2">
      <c r="E185" s="10"/>
      <c r="F185" s="53"/>
      <c r="G185" s="9"/>
      <c r="J185" s="17"/>
      <c r="K185" s="17"/>
    </row>
    <row r="186" spans="5:11" x14ac:dyDescent="0.2">
      <c r="E186" s="10"/>
      <c r="F186" s="53"/>
      <c r="G186" s="9"/>
      <c r="J186" s="17"/>
      <c r="K186" s="17"/>
    </row>
    <row r="187" spans="5:11" x14ac:dyDescent="0.2">
      <c r="E187" s="10"/>
      <c r="F187" s="53"/>
      <c r="G187" s="9"/>
      <c r="J187" s="17"/>
      <c r="K187" s="17"/>
    </row>
    <row r="188" spans="5:11" x14ac:dyDescent="0.2">
      <c r="E188" s="10"/>
      <c r="F188" s="53"/>
      <c r="G188" s="9"/>
      <c r="J188" s="17"/>
      <c r="K188" s="17"/>
    </row>
    <row r="189" spans="5:11" x14ac:dyDescent="0.2">
      <c r="E189" s="10"/>
      <c r="F189" s="53"/>
      <c r="G189" s="9"/>
      <c r="J189" s="17"/>
      <c r="K189" s="17"/>
    </row>
    <row r="190" spans="5:11" x14ac:dyDescent="0.2">
      <c r="E190" s="10"/>
      <c r="F190" s="53"/>
      <c r="G190" s="9"/>
      <c r="J190" s="17"/>
      <c r="K190" s="17"/>
    </row>
    <row r="191" spans="5:11" x14ac:dyDescent="0.2">
      <c r="E191" s="10"/>
      <c r="F191" s="53"/>
      <c r="G191" s="9"/>
      <c r="J191" s="17"/>
      <c r="K191" s="17"/>
    </row>
    <row r="192" spans="5:11" x14ac:dyDescent="0.2">
      <c r="E192" s="10"/>
      <c r="F192" s="53"/>
      <c r="G192" s="9"/>
      <c r="J192" s="17"/>
      <c r="K192" s="17"/>
    </row>
    <row r="193" spans="5:11" x14ac:dyDescent="0.2">
      <c r="E193" s="10"/>
      <c r="F193" s="53"/>
      <c r="G193" s="9"/>
      <c r="J193" s="17"/>
      <c r="K193" s="17"/>
    </row>
    <row r="194" spans="5:11" x14ac:dyDescent="0.2">
      <c r="E194" s="10"/>
      <c r="F194" s="53"/>
      <c r="G194" s="9"/>
      <c r="J194" s="17"/>
      <c r="K194" s="17"/>
    </row>
    <row r="195" spans="5:11" x14ac:dyDescent="0.2">
      <c r="E195" s="10"/>
      <c r="F195" s="53"/>
      <c r="G195" s="9"/>
      <c r="J195" s="17"/>
      <c r="K195" s="17"/>
    </row>
    <row r="196" spans="5:11" x14ac:dyDescent="0.2">
      <c r="E196" s="10"/>
      <c r="F196" s="53"/>
      <c r="G196" s="9"/>
      <c r="J196" s="17"/>
      <c r="K196" s="17"/>
    </row>
    <row r="197" spans="5:11" x14ac:dyDescent="0.2">
      <c r="E197" s="10"/>
      <c r="F197" s="53"/>
      <c r="G197" s="9"/>
      <c r="J197" s="17"/>
      <c r="K197" s="17"/>
    </row>
    <row r="198" spans="5:11" x14ac:dyDescent="0.2">
      <c r="E198" s="10"/>
      <c r="F198" s="53"/>
      <c r="G198" s="9"/>
      <c r="J198" s="17"/>
      <c r="K198" s="17"/>
    </row>
    <row r="199" spans="5:11" x14ac:dyDescent="0.2">
      <c r="E199" s="10"/>
      <c r="F199" s="53"/>
      <c r="G199" s="9"/>
      <c r="J199" s="17"/>
      <c r="K199" s="17"/>
    </row>
    <row r="200" spans="5:11" x14ac:dyDescent="0.2">
      <c r="E200" s="10"/>
      <c r="F200" s="53"/>
      <c r="G200" s="9"/>
      <c r="J200" s="17"/>
      <c r="K200" s="17"/>
    </row>
    <row r="201" spans="5:11" x14ac:dyDescent="0.2">
      <c r="E201" s="10"/>
      <c r="F201" s="53"/>
      <c r="G201" s="9"/>
      <c r="J201" s="17"/>
      <c r="K201" s="17"/>
    </row>
    <row r="202" spans="5:11" x14ac:dyDescent="0.2">
      <c r="E202" s="10"/>
      <c r="F202" s="53"/>
      <c r="G202" s="9"/>
      <c r="J202" s="17"/>
      <c r="K202" s="17"/>
    </row>
    <row r="203" spans="5:11" x14ac:dyDescent="0.2">
      <c r="E203" s="10"/>
      <c r="F203" s="53"/>
      <c r="G203" s="9"/>
      <c r="J203" s="17"/>
      <c r="K203" s="17"/>
    </row>
    <row r="204" spans="5:11" x14ac:dyDescent="0.2">
      <c r="E204" s="10"/>
      <c r="F204" s="53"/>
      <c r="G204" s="9"/>
      <c r="J204" s="17"/>
      <c r="K204" s="17"/>
    </row>
    <row r="205" spans="5:11" x14ac:dyDescent="0.2">
      <c r="E205" s="10"/>
      <c r="F205" s="53"/>
      <c r="G205" s="9"/>
      <c r="J205" s="17"/>
      <c r="K205" s="17"/>
    </row>
    <row r="206" spans="5:11" x14ac:dyDescent="0.2">
      <c r="E206" s="10"/>
      <c r="F206" s="53"/>
      <c r="G206" s="9"/>
      <c r="J206" s="17"/>
      <c r="K206" s="17"/>
    </row>
    <row r="207" spans="5:11" x14ac:dyDescent="0.2">
      <c r="E207" s="10"/>
      <c r="F207" s="53"/>
      <c r="G207" s="9"/>
      <c r="J207" s="17"/>
      <c r="K207" s="17"/>
    </row>
    <row r="208" spans="5:11" x14ac:dyDescent="0.2">
      <c r="E208" s="10"/>
      <c r="F208" s="53"/>
      <c r="G208" s="9"/>
      <c r="J208" s="17"/>
      <c r="K208" s="17"/>
    </row>
    <row r="209" spans="5:11" x14ac:dyDescent="0.2">
      <c r="E209" s="10"/>
      <c r="F209" s="53"/>
      <c r="G209" s="9"/>
      <c r="J209" s="17"/>
      <c r="K209" s="17"/>
    </row>
    <row r="210" spans="5:11" x14ac:dyDescent="0.2">
      <c r="E210" s="10"/>
      <c r="F210" s="53"/>
      <c r="G210" s="9"/>
      <c r="J210" s="17"/>
      <c r="K210" s="17"/>
    </row>
    <row r="211" spans="5:11" x14ac:dyDescent="0.2">
      <c r="E211" s="10"/>
      <c r="F211" s="53"/>
      <c r="G211" s="9"/>
      <c r="J211" s="17"/>
      <c r="K211" s="17"/>
    </row>
    <row r="212" spans="5:11" x14ac:dyDescent="0.2">
      <c r="E212" s="10"/>
      <c r="F212" s="53"/>
      <c r="G212" s="9"/>
      <c r="J212" s="17"/>
      <c r="K212" s="17"/>
    </row>
    <row r="213" spans="5:11" x14ac:dyDescent="0.2">
      <c r="E213" s="10"/>
      <c r="F213" s="53"/>
      <c r="G213" s="9"/>
      <c r="J213" s="17"/>
      <c r="K213" s="17"/>
    </row>
    <row r="214" spans="5:11" x14ac:dyDescent="0.2">
      <c r="E214" s="10"/>
      <c r="F214" s="53"/>
      <c r="G214" s="9"/>
      <c r="J214" s="17"/>
      <c r="K214" s="17"/>
    </row>
    <row r="215" spans="5:11" x14ac:dyDescent="0.2">
      <c r="E215" s="10"/>
      <c r="F215" s="53"/>
      <c r="G215" s="9"/>
      <c r="J215" s="17"/>
      <c r="K215" s="17"/>
    </row>
    <row r="216" spans="5:11" x14ac:dyDescent="0.2">
      <c r="E216" s="10"/>
      <c r="F216" s="53"/>
      <c r="G216" s="9"/>
      <c r="J216" s="17"/>
      <c r="K216" s="17"/>
    </row>
    <row r="217" spans="5:11" x14ac:dyDescent="0.2">
      <c r="E217" s="10"/>
      <c r="F217" s="53"/>
      <c r="G217" s="9"/>
      <c r="J217" s="17"/>
      <c r="K217" s="17"/>
    </row>
    <row r="218" spans="5:11" x14ac:dyDescent="0.2">
      <c r="E218" s="10"/>
      <c r="F218" s="53"/>
      <c r="G218" s="9"/>
      <c r="J218" s="17"/>
      <c r="K218" s="17"/>
    </row>
    <row r="219" spans="5:11" x14ac:dyDescent="0.2">
      <c r="E219" s="10"/>
      <c r="F219" s="53"/>
      <c r="G219" s="9"/>
      <c r="J219" s="17"/>
      <c r="K219" s="17"/>
    </row>
    <row r="220" spans="5:11" x14ac:dyDescent="0.2">
      <c r="E220" s="10"/>
      <c r="F220" s="53"/>
      <c r="G220" s="9"/>
      <c r="J220" s="17"/>
      <c r="K220" s="17"/>
    </row>
    <row r="221" spans="5:11" x14ac:dyDescent="0.2">
      <c r="E221" s="10"/>
      <c r="F221" s="53"/>
      <c r="G221" s="9"/>
      <c r="J221" s="17"/>
      <c r="K221" s="17"/>
    </row>
    <row r="222" spans="5:11" x14ac:dyDescent="0.2">
      <c r="E222" s="10"/>
      <c r="F222" s="53"/>
      <c r="G222" s="9"/>
      <c r="J222" s="17"/>
      <c r="K222" s="17"/>
    </row>
    <row r="223" spans="5:11" x14ac:dyDescent="0.2">
      <c r="E223" s="10"/>
      <c r="F223" s="53"/>
      <c r="G223" s="9"/>
      <c r="J223" s="17"/>
      <c r="K223" s="17"/>
    </row>
    <row r="224" spans="5:11" x14ac:dyDescent="0.2">
      <c r="E224" s="10"/>
      <c r="F224" s="53"/>
      <c r="G224" s="9"/>
      <c r="J224" s="17"/>
      <c r="K224" s="17"/>
    </row>
    <row r="225" spans="5:11" x14ac:dyDescent="0.2">
      <c r="E225" s="10"/>
      <c r="F225" s="53"/>
      <c r="G225" s="9"/>
      <c r="J225" s="17"/>
      <c r="K225" s="17"/>
    </row>
    <row r="226" spans="5:11" x14ac:dyDescent="0.2">
      <c r="E226" s="10"/>
      <c r="F226" s="53"/>
      <c r="G226" s="9"/>
      <c r="J226" s="17"/>
      <c r="K226" s="17"/>
    </row>
    <row r="227" spans="5:11" x14ac:dyDescent="0.2">
      <c r="E227" s="10"/>
      <c r="F227" s="53"/>
      <c r="G227" s="9"/>
      <c r="J227" s="17"/>
      <c r="K227" s="17"/>
    </row>
    <row r="228" spans="5:11" x14ac:dyDescent="0.2">
      <c r="E228" s="10"/>
      <c r="F228" s="53"/>
      <c r="G228" s="9"/>
      <c r="J228" s="17"/>
      <c r="K228" s="17"/>
    </row>
    <row r="229" spans="5:11" x14ac:dyDescent="0.2">
      <c r="E229" s="10"/>
      <c r="F229" s="53"/>
      <c r="G229" s="9"/>
      <c r="J229" s="17"/>
      <c r="K229" s="17"/>
    </row>
    <row r="230" spans="5:11" x14ac:dyDescent="0.2">
      <c r="E230" s="10"/>
      <c r="F230" s="53"/>
      <c r="G230" s="9"/>
      <c r="J230" s="17"/>
      <c r="K230" s="17"/>
    </row>
    <row r="231" spans="5:11" x14ac:dyDescent="0.2">
      <c r="E231" s="10"/>
      <c r="F231" s="53"/>
      <c r="G231" s="9"/>
      <c r="J231" s="17"/>
      <c r="K231" s="17"/>
    </row>
    <row r="232" spans="5:11" x14ac:dyDescent="0.2">
      <c r="E232" s="10"/>
      <c r="F232" s="53"/>
      <c r="G232" s="9"/>
      <c r="J232" s="17"/>
      <c r="K232" s="17"/>
    </row>
    <row r="233" spans="5:11" x14ac:dyDescent="0.2">
      <c r="E233" s="10"/>
      <c r="F233" s="53"/>
      <c r="G233" s="9"/>
      <c r="J233" s="17"/>
      <c r="K233" s="17"/>
    </row>
    <row r="234" spans="5:11" x14ac:dyDescent="0.2">
      <c r="E234" s="10"/>
      <c r="F234" s="53"/>
      <c r="G234" s="9"/>
      <c r="J234" s="17"/>
      <c r="K234" s="17"/>
    </row>
    <row r="235" spans="5:11" x14ac:dyDescent="0.2">
      <c r="E235" s="10"/>
      <c r="F235" s="53"/>
      <c r="G235" s="9"/>
      <c r="J235" s="17"/>
      <c r="K235" s="17"/>
    </row>
    <row r="236" spans="5:11" x14ac:dyDescent="0.2">
      <c r="E236" s="10"/>
      <c r="F236" s="53"/>
      <c r="G236" s="9"/>
      <c r="J236" s="17"/>
      <c r="K236" s="17"/>
    </row>
    <row r="237" spans="5:11" x14ac:dyDescent="0.2">
      <c r="E237" s="10"/>
      <c r="F237" s="53"/>
      <c r="G237" s="9"/>
      <c r="J237" s="17"/>
      <c r="K237" s="17"/>
    </row>
    <row r="238" spans="5:11" x14ac:dyDescent="0.2">
      <c r="E238" s="10"/>
      <c r="F238" s="53"/>
      <c r="G238" s="9"/>
      <c r="J238" s="17"/>
      <c r="K238" s="17"/>
    </row>
    <row r="239" spans="5:11" x14ac:dyDescent="0.2">
      <c r="E239" s="10"/>
      <c r="F239" s="53"/>
      <c r="G239" s="9"/>
      <c r="J239" s="17"/>
      <c r="K239" s="17"/>
    </row>
    <row r="240" spans="5:11" x14ac:dyDescent="0.2">
      <c r="E240" s="10"/>
      <c r="F240" s="53"/>
      <c r="G240" s="9"/>
      <c r="J240" s="17"/>
      <c r="K240" s="17"/>
    </row>
    <row r="241" spans="5:11" x14ac:dyDescent="0.2">
      <c r="E241" s="10"/>
      <c r="F241" s="53"/>
      <c r="G241" s="9"/>
      <c r="J241" s="17"/>
      <c r="K241" s="17"/>
    </row>
    <row r="242" spans="5:11" x14ac:dyDescent="0.2">
      <c r="E242" s="10"/>
      <c r="F242" s="53"/>
      <c r="G242" s="9"/>
      <c r="J242" s="17"/>
      <c r="K242" s="17"/>
    </row>
    <row r="243" spans="5:11" x14ac:dyDescent="0.2">
      <c r="E243" s="10"/>
      <c r="F243" s="53"/>
      <c r="G243" s="9"/>
      <c r="J243" s="17"/>
      <c r="K243" s="17"/>
    </row>
    <row r="244" spans="5:11" x14ac:dyDescent="0.2">
      <c r="E244" s="10"/>
      <c r="F244" s="53"/>
      <c r="G244" s="9"/>
      <c r="J244" s="17"/>
      <c r="K244" s="17"/>
    </row>
    <row r="245" spans="5:11" x14ac:dyDescent="0.2">
      <c r="E245" s="10"/>
      <c r="F245" s="53"/>
      <c r="G245" s="9"/>
      <c r="J245" s="17"/>
      <c r="K245" s="17"/>
    </row>
    <row r="246" spans="5:11" x14ac:dyDescent="0.2">
      <c r="E246" s="10"/>
      <c r="F246" s="53"/>
      <c r="G246" s="9"/>
      <c r="J246" s="17"/>
      <c r="K246" s="17"/>
    </row>
    <row r="247" spans="5:11" x14ac:dyDescent="0.2">
      <c r="E247" s="10"/>
      <c r="F247" s="53"/>
      <c r="G247" s="9"/>
      <c r="J247" s="17"/>
      <c r="K247" s="17"/>
    </row>
    <row r="248" spans="5:11" x14ac:dyDescent="0.2">
      <c r="E248" s="10"/>
      <c r="F248" s="53"/>
      <c r="G248" s="9"/>
      <c r="J248" s="17"/>
      <c r="K248" s="17"/>
    </row>
    <row r="249" spans="5:11" x14ac:dyDescent="0.2">
      <c r="E249" s="10"/>
      <c r="F249" s="53"/>
      <c r="G249" s="9"/>
      <c r="J249" s="17"/>
      <c r="K249" s="17"/>
    </row>
    <row r="250" spans="5:11" x14ac:dyDescent="0.2">
      <c r="E250" s="10"/>
      <c r="F250" s="53"/>
      <c r="G250" s="9"/>
      <c r="J250" s="17"/>
      <c r="K250" s="17"/>
    </row>
    <row r="251" spans="5:11" x14ac:dyDescent="0.2">
      <c r="E251" s="10"/>
      <c r="F251" s="53"/>
      <c r="G251" s="9"/>
      <c r="J251" s="17"/>
      <c r="K251" s="17"/>
    </row>
    <row r="252" spans="5:11" x14ac:dyDescent="0.2">
      <c r="E252" s="10"/>
      <c r="F252" s="53"/>
      <c r="G252" s="9"/>
      <c r="J252" s="17"/>
      <c r="K252" s="17"/>
    </row>
    <row r="253" spans="5:11" x14ac:dyDescent="0.2">
      <c r="E253" s="10"/>
      <c r="F253" s="53"/>
      <c r="G253" s="9"/>
      <c r="J253" s="17"/>
      <c r="K253" s="17"/>
    </row>
    <row r="254" spans="5:11" x14ac:dyDescent="0.2">
      <c r="E254" s="10"/>
      <c r="F254" s="53"/>
      <c r="G254" s="9"/>
      <c r="J254" s="17"/>
      <c r="K254" s="17"/>
    </row>
    <row r="255" spans="5:11" x14ac:dyDescent="0.2">
      <c r="E255" s="10"/>
      <c r="F255" s="53"/>
      <c r="G255" s="9"/>
      <c r="J255" s="17"/>
      <c r="K255" s="17"/>
    </row>
    <row r="256" spans="5:11" x14ac:dyDescent="0.2">
      <c r="E256" s="10"/>
      <c r="F256" s="53"/>
      <c r="G256" s="9"/>
      <c r="J256" s="17"/>
      <c r="K256" s="17"/>
    </row>
    <row r="257" spans="5:11" x14ac:dyDescent="0.2">
      <c r="E257" s="10"/>
      <c r="F257" s="53"/>
      <c r="G257" s="9"/>
      <c r="J257" s="17"/>
      <c r="K257" s="17"/>
    </row>
    <row r="258" spans="5:11" x14ac:dyDescent="0.2">
      <c r="E258" s="10"/>
      <c r="F258" s="53"/>
      <c r="G258" s="9"/>
      <c r="J258" s="17"/>
      <c r="K258" s="17"/>
    </row>
    <row r="259" spans="5:11" x14ac:dyDescent="0.2">
      <c r="E259" s="10"/>
      <c r="F259" s="53"/>
      <c r="G259" s="9"/>
      <c r="J259" s="17"/>
      <c r="K259" s="17"/>
    </row>
    <row r="260" spans="5:11" x14ac:dyDescent="0.2">
      <c r="E260" s="10"/>
      <c r="F260" s="53"/>
      <c r="G260" s="9"/>
      <c r="J260" s="17"/>
      <c r="K260" s="17"/>
    </row>
    <row r="261" spans="5:11" x14ac:dyDescent="0.2">
      <c r="E261" s="10"/>
      <c r="F261" s="53"/>
      <c r="G261" s="9"/>
      <c r="J261" s="17"/>
      <c r="K261" s="17"/>
    </row>
    <row r="262" spans="5:11" x14ac:dyDescent="0.2">
      <c r="E262" s="10"/>
      <c r="F262" s="53"/>
      <c r="G262" s="9"/>
      <c r="J262" s="17"/>
      <c r="K262" s="17"/>
    </row>
    <row r="263" spans="5:11" x14ac:dyDescent="0.2">
      <c r="E263" s="10"/>
      <c r="F263" s="53"/>
      <c r="G263" s="9"/>
      <c r="J263" s="17"/>
      <c r="K263" s="17"/>
    </row>
    <row r="264" spans="5:11" x14ac:dyDescent="0.2">
      <c r="E264" s="10"/>
      <c r="F264" s="53"/>
      <c r="G264" s="9"/>
      <c r="J264" s="17"/>
      <c r="K264" s="17"/>
    </row>
    <row r="265" spans="5:11" x14ac:dyDescent="0.2">
      <c r="E265" s="10"/>
      <c r="F265" s="53"/>
      <c r="G265" s="9"/>
      <c r="J265" s="17"/>
      <c r="K265" s="17"/>
    </row>
    <row r="266" spans="5:11" x14ac:dyDescent="0.2">
      <c r="E266" s="10"/>
      <c r="F266" s="53"/>
      <c r="G266" s="9"/>
      <c r="J266" s="17"/>
      <c r="K266" s="17"/>
    </row>
    <row r="267" spans="5:11" x14ac:dyDescent="0.2">
      <c r="E267" s="10"/>
      <c r="F267" s="53"/>
      <c r="G267" s="9"/>
      <c r="J267" s="17"/>
      <c r="K267" s="17"/>
    </row>
    <row r="268" spans="5:11" x14ac:dyDescent="0.2">
      <c r="E268" s="10"/>
      <c r="F268" s="53"/>
      <c r="G268" s="9"/>
      <c r="J268" s="17"/>
      <c r="K268" s="17"/>
    </row>
    <row r="269" spans="5:11" x14ac:dyDescent="0.2">
      <c r="E269" s="10"/>
      <c r="F269" s="53"/>
      <c r="G269" s="9"/>
      <c r="J269" s="17"/>
      <c r="K269" s="17"/>
    </row>
    <row r="270" spans="5:11" x14ac:dyDescent="0.2">
      <c r="E270" s="10"/>
      <c r="F270" s="53"/>
      <c r="G270" s="9"/>
      <c r="J270" s="17"/>
      <c r="K270" s="17"/>
    </row>
    <row r="271" spans="5:11" x14ac:dyDescent="0.2">
      <c r="E271" s="10"/>
      <c r="F271" s="53"/>
      <c r="G271" s="9"/>
      <c r="J271" s="17"/>
      <c r="K271" s="17"/>
    </row>
    <row r="272" spans="5:11" x14ac:dyDescent="0.2">
      <c r="E272" s="10"/>
      <c r="F272" s="53"/>
      <c r="G272" s="9"/>
      <c r="J272" s="17"/>
      <c r="K272" s="17"/>
    </row>
    <row r="273" spans="5:11" x14ac:dyDescent="0.2">
      <c r="E273" s="10"/>
      <c r="F273" s="53"/>
      <c r="G273" s="9"/>
      <c r="J273" s="17"/>
      <c r="K273" s="17"/>
    </row>
    <row r="274" spans="5:11" x14ac:dyDescent="0.2">
      <c r="E274" s="10"/>
      <c r="F274" s="53"/>
      <c r="G274" s="9"/>
      <c r="J274" s="17"/>
      <c r="K274" s="17"/>
    </row>
    <row r="275" spans="5:11" x14ac:dyDescent="0.2">
      <c r="E275" s="10"/>
      <c r="F275" s="53"/>
      <c r="G275" s="9"/>
      <c r="J275" s="17"/>
      <c r="K275" s="17"/>
    </row>
    <row r="276" spans="5:11" x14ac:dyDescent="0.2">
      <c r="E276" s="10"/>
      <c r="F276" s="53"/>
      <c r="G276" s="9"/>
      <c r="J276" s="17"/>
      <c r="K276" s="17"/>
    </row>
    <row r="277" spans="5:11" x14ac:dyDescent="0.2">
      <c r="E277" s="10"/>
      <c r="F277" s="53"/>
      <c r="G277" s="9"/>
      <c r="J277" s="17"/>
      <c r="K277" s="17"/>
    </row>
    <row r="278" spans="5:11" x14ac:dyDescent="0.2">
      <c r="E278" s="10"/>
      <c r="F278" s="53"/>
      <c r="G278" s="9"/>
      <c r="J278" s="17"/>
      <c r="K278" s="17"/>
    </row>
    <row r="279" spans="5:11" x14ac:dyDescent="0.2">
      <c r="E279" s="10"/>
      <c r="F279" s="53"/>
      <c r="G279" s="9"/>
      <c r="J279" s="17"/>
      <c r="K279" s="17"/>
    </row>
    <row r="280" spans="5:11" x14ac:dyDescent="0.2">
      <c r="E280" s="10"/>
      <c r="F280" s="53"/>
      <c r="G280" s="9"/>
      <c r="J280" s="17"/>
      <c r="K280" s="17"/>
    </row>
    <row r="281" spans="5:11" x14ac:dyDescent="0.2">
      <c r="E281" s="10"/>
      <c r="F281" s="53"/>
      <c r="G281" s="9"/>
      <c r="J281" s="17"/>
      <c r="K281" s="17"/>
    </row>
    <row r="282" spans="5:11" x14ac:dyDescent="0.2">
      <c r="E282" s="10"/>
      <c r="F282" s="53"/>
      <c r="G282" s="9"/>
      <c r="J282" s="17"/>
      <c r="K282" s="17"/>
    </row>
    <row r="283" spans="5:11" x14ac:dyDescent="0.2">
      <c r="E283" s="10"/>
      <c r="F283" s="53"/>
      <c r="G283" s="9"/>
      <c r="J283" s="17"/>
      <c r="K283" s="17"/>
    </row>
    <row r="284" spans="5:11" x14ac:dyDescent="0.2">
      <c r="E284" s="10"/>
      <c r="F284" s="53"/>
      <c r="G284" s="9"/>
      <c r="J284" s="17"/>
      <c r="K284" s="17"/>
    </row>
    <row r="285" spans="5:11" x14ac:dyDescent="0.2">
      <c r="E285" s="10"/>
      <c r="F285" s="53"/>
      <c r="G285" s="9"/>
      <c r="J285" s="17"/>
      <c r="K285" s="17"/>
    </row>
    <row r="286" spans="5:11" x14ac:dyDescent="0.2">
      <c r="E286" s="10"/>
      <c r="F286" s="53"/>
      <c r="G286" s="9"/>
      <c r="J286" s="17"/>
      <c r="K286" s="17"/>
    </row>
    <row r="287" spans="5:11" x14ac:dyDescent="0.2">
      <c r="E287" s="10"/>
      <c r="F287" s="53"/>
      <c r="G287" s="9"/>
      <c r="J287" s="17"/>
      <c r="K287" s="17"/>
    </row>
    <row r="288" spans="5:11" x14ac:dyDescent="0.2">
      <c r="E288" s="10"/>
      <c r="F288" s="53"/>
      <c r="G288" s="9"/>
      <c r="J288" s="17"/>
      <c r="K288" s="17"/>
    </row>
    <row r="289" spans="5:11" x14ac:dyDescent="0.2">
      <c r="E289" s="10"/>
      <c r="F289" s="53"/>
      <c r="G289" s="9"/>
      <c r="J289" s="17"/>
      <c r="K289" s="17"/>
    </row>
    <row r="290" spans="5:11" x14ac:dyDescent="0.2">
      <c r="E290" s="10"/>
      <c r="F290" s="53"/>
      <c r="G290" s="9"/>
      <c r="J290" s="17"/>
      <c r="K290" s="17"/>
    </row>
    <row r="291" spans="5:11" x14ac:dyDescent="0.2">
      <c r="E291" s="10"/>
      <c r="F291" s="53"/>
      <c r="G291" s="9"/>
      <c r="J291" s="17"/>
      <c r="K291" s="17"/>
    </row>
    <row r="292" spans="5:11" x14ac:dyDescent="0.2">
      <c r="E292" s="10"/>
      <c r="F292" s="53"/>
      <c r="G292" s="9"/>
      <c r="J292" s="17"/>
      <c r="K292" s="17"/>
    </row>
    <row r="293" spans="5:11" x14ac:dyDescent="0.2">
      <c r="E293" s="10"/>
      <c r="F293" s="53"/>
      <c r="G293" s="9"/>
      <c r="J293" s="17"/>
      <c r="K293" s="17"/>
    </row>
    <row r="294" spans="5:11" x14ac:dyDescent="0.2">
      <c r="E294" s="10"/>
      <c r="F294" s="53"/>
      <c r="G294" s="9"/>
      <c r="J294" s="17"/>
      <c r="K294" s="17"/>
    </row>
    <row r="295" spans="5:11" x14ac:dyDescent="0.2">
      <c r="E295" s="10"/>
      <c r="F295" s="53"/>
      <c r="G295" s="9"/>
      <c r="J295" s="17"/>
      <c r="K295" s="17"/>
    </row>
    <row r="296" spans="5:11" x14ac:dyDescent="0.2">
      <c r="E296" s="10"/>
      <c r="F296" s="53"/>
      <c r="G296" s="9"/>
      <c r="J296" s="17"/>
      <c r="K296" s="17"/>
    </row>
    <row r="297" spans="5:11" x14ac:dyDescent="0.2">
      <c r="E297" s="10"/>
      <c r="F297" s="53"/>
      <c r="G297" s="9"/>
      <c r="J297" s="17"/>
      <c r="K297" s="17"/>
    </row>
    <row r="298" spans="5:11" x14ac:dyDescent="0.2">
      <c r="E298" s="10"/>
      <c r="F298" s="53"/>
      <c r="G298" s="9"/>
      <c r="J298" s="17"/>
      <c r="K298" s="17"/>
    </row>
    <row r="299" spans="5:11" x14ac:dyDescent="0.2">
      <c r="E299" s="10"/>
      <c r="F299" s="53"/>
      <c r="G299" s="9"/>
      <c r="J299" s="17"/>
      <c r="K299" s="17"/>
    </row>
    <row r="300" spans="5:11" x14ac:dyDescent="0.2">
      <c r="E300" s="10"/>
      <c r="F300" s="53"/>
      <c r="G300" s="9"/>
      <c r="J300" s="17"/>
      <c r="K300" s="17"/>
    </row>
    <row r="301" spans="5:11" x14ac:dyDescent="0.2">
      <c r="E301" s="10"/>
      <c r="F301" s="53"/>
      <c r="G301" s="9"/>
      <c r="J301" s="17"/>
      <c r="K301" s="17"/>
    </row>
    <row r="302" spans="5:11" x14ac:dyDescent="0.2">
      <c r="E302" s="10"/>
      <c r="F302" s="53"/>
      <c r="G302" s="9"/>
      <c r="J302" s="17"/>
      <c r="K302" s="17"/>
    </row>
    <row r="303" spans="5:11" x14ac:dyDescent="0.2">
      <c r="E303" s="10"/>
      <c r="F303" s="53"/>
      <c r="G303" s="9"/>
      <c r="J303" s="17"/>
      <c r="K303" s="17"/>
    </row>
    <row r="304" spans="5:11" x14ac:dyDescent="0.2">
      <c r="E304" s="10"/>
      <c r="F304" s="53"/>
      <c r="G304" s="9"/>
      <c r="J304" s="17"/>
      <c r="K304" s="17"/>
    </row>
    <row r="305" spans="5:11" x14ac:dyDescent="0.2">
      <c r="E305" s="10"/>
      <c r="F305" s="53"/>
      <c r="G305" s="9"/>
      <c r="J305" s="17"/>
      <c r="K305" s="17"/>
    </row>
    <row r="306" spans="5:11" x14ac:dyDescent="0.2">
      <c r="E306" s="10"/>
      <c r="F306" s="53"/>
      <c r="G306" s="9"/>
      <c r="J306" s="17"/>
      <c r="K306" s="17"/>
    </row>
    <row r="307" spans="5:11" x14ac:dyDescent="0.2">
      <c r="E307" s="10"/>
      <c r="F307" s="53"/>
      <c r="G307" s="9"/>
      <c r="J307" s="17"/>
      <c r="K307" s="17"/>
    </row>
    <row r="308" spans="5:11" x14ac:dyDescent="0.2">
      <c r="E308" s="10"/>
      <c r="F308" s="53"/>
      <c r="G308" s="9"/>
      <c r="J308" s="17"/>
      <c r="K308" s="17"/>
    </row>
    <row r="309" spans="5:11" x14ac:dyDescent="0.2">
      <c r="E309" s="10"/>
      <c r="F309" s="53"/>
      <c r="G309" s="9"/>
      <c r="J309" s="17"/>
      <c r="K309" s="17"/>
    </row>
    <row r="310" spans="5:11" x14ac:dyDescent="0.2">
      <c r="E310" s="10"/>
      <c r="F310" s="53"/>
      <c r="G310" s="9"/>
      <c r="J310" s="17"/>
      <c r="K310" s="17"/>
    </row>
    <row r="311" spans="5:11" x14ac:dyDescent="0.2">
      <c r="E311" s="10"/>
      <c r="F311" s="53"/>
      <c r="G311" s="9"/>
      <c r="J311" s="17"/>
      <c r="K311" s="17"/>
    </row>
    <row r="312" spans="5:11" x14ac:dyDescent="0.2">
      <c r="E312" s="10"/>
      <c r="F312" s="53"/>
      <c r="G312" s="9"/>
      <c r="J312" s="17"/>
      <c r="K312" s="17"/>
    </row>
    <row r="313" spans="5:11" x14ac:dyDescent="0.2">
      <c r="E313" s="10"/>
      <c r="F313" s="53"/>
      <c r="G313" s="9"/>
      <c r="J313" s="17"/>
      <c r="K313" s="17"/>
    </row>
    <row r="314" spans="5:11" x14ac:dyDescent="0.2">
      <c r="E314" s="10"/>
      <c r="F314" s="53"/>
      <c r="G314" s="9"/>
      <c r="J314" s="17"/>
      <c r="K314" s="17"/>
    </row>
    <row r="315" spans="5:11" x14ac:dyDescent="0.2">
      <c r="E315" s="10"/>
      <c r="F315" s="53"/>
      <c r="G315" s="9"/>
      <c r="J315" s="17"/>
      <c r="K315" s="17"/>
    </row>
    <row r="316" spans="5:11" x14ac:dyDescent="0.2">
      <c r="E316" s="10"/>
      <c r="F316" s="53"/>
      <c r="G316" s="9"/>
      <c r="J316" s="17"/>
      <c r="K316" s="17"/>
    </row>
    <row r="317" spans="5:11" x14ac:dyDescent="0.2">
      <c r="E317" s="10"/>
      <c r="F317" s="53"/>
      <c r="G317" s="9"/>
      <c r="J317" s="17"/>
      <c r="K317" s="17"/>
    </row>
    <row r="318" spans="5:11" x14ac:dyDescent="0.2">
      <c r="E318" s="10"/>
      <c r="F318" s="53"/>
      <c r="G318" s="9"/>
      <c r="J318" s="17"/>
      <c r="K318" s="17"/>
    </row>
    <row r="319" spans="5:11" x14ac:dyDescent="0.2">
      <c r="E319" s="10"/>
      <c r="F319" s="53"/>
      <c r="G319" s="9"/>
      <c r="J319" s="17"/>
      <c r="K319" s="17"/>
    </row>
    <row r="320" spans="5:11" x14ac:dyDescent="0.2">
      <c r="E320" s="10"/>
      <c r="F320" s="53"/>
      <c r="G320" s="9"/>
      <c r="J320" s="17"/>
      <c r="K320" s="17"/>
    </row>
    <row r="321" spans="5:11" x14ac:dyDescent="0.2">
      <c r="E321" s="10"/>
      <c r="F321" s="53"/>
      <c r="G321" s="9"/>
      <c r="J321" s="17"/>
      <c r="K321" s="17"/>
    </row>
    <row r="322" spans="5:11" x14ac:dyDescent="0.2">
      <c r="E322" s="10"/>
      <c r="F322" s="53"/>
      <c r="G322" s="9"/>
      <c r="J322" s="17"/>
      <c r="K322" s="17"/>
    </row>
    <row r="323" spans="5:11" x14ac:dyDescent="0.2">
      <c r="E323" s="10"/>
      <c r="F323" s="53"/>
      <c r="G323" s="9"/>
      <c r="J323" s="17"/>
      <c r="K323" s="17"/>
    </row>
    <row r="324" spans="5:11" x14ac:dyDescent="0.2">
      <c r="E324" s="10"/>
      <c r="F324" s="53"/>
      <c r="G324" s="9"/>
      <c r="J324" s="17"/>
      <c r="K324" s="17"/>
    </row>
    <row r="325" spans="5:11" x14ac:dyDescent="0.2">
      <c r="E325" s="10"/>
      <c r="F325" s="53"/>
      <c r="G325" s="9"/>
      <c r="J325" s="17"/>
      <c r="K325" s="17"/>
    </row>
    <row r="326" spans="5:11" x14ac:dyDescent="0.2">
      <c r="E326" s="10"/>
      <c r="F326" s="53"/>
      <c r="G326" s="9"/>
      <c r="J326" s="17"/>
      <c r="K326" s="17"/>
    </row>
    <row r="327" spans="5:11" x14ac:dyDescent="0.2">
      <c r="E327" s="10"/>
      <c r="F327" s="53"/>
      <c r="G327" s="9"/>
      <c r="J327" s="17"/>
      <c r="K327" s="17"/>
    </row>
    <row r="328" spans="5:11" x14ac:dyDescent="0.2">
      <c r="E328" s="10"/>
      <c r="F328" s="53"/>
      <c r="G328" s="9"/>
      <c r="J328" s="17"/>
      <c r="K328" s="17"/>
    </row>
    <row r="329" spans="5:11" x14ac:dyDescent="0.2">
      <c r="E329" s="10"/>
      <c r="F329" s="53"/>
      <c r="G329" s="9"/>
      <c r="J329" s="17"/>
      <c r="K329" s="17"/>
    </row>
    <row r="330" spans="5:11" x14ac:dyDescent="0.2">
      <c r="E330" s="10"/>
      <c r="F330" s="53"/>
      <c r="G330" s="9"/>
      <c r="J330" s="17"/>
      <c r="K330" s="17"/>
    </row>
    <row r="331" spans="5:11" x14ac:dyDescent="0.2">
      <c r="E331" s="10"/>
      <c r="F331" s="53"/>
      <c r="G331" s="9"/>
      <c r="J331" s="17"/>
      <c r="K331" s="17"/>
    </row>
    <row r="332" spans="5:11" x14ac:dyDescent="0.2">
      <c r="E332" s="10"/>
      <c r="F332" s="53"/>
      <c r="G332" s="9"/>
      <c r="J332" s="17"/>
      <c r="K332" s="17"/>
    </row>
    <row r="333" spans="5:11" x14ac:dyDescent="0.2">
      <c r="E333" s="10"/>
      <c r="F333" s="53"/>
      <c r="G333" s="9"/>
      <c r="J333" s="17"/>
      <c r="K333" s="17"/>
    </row>
    <row r="334" spans="5:11" x14ac:dyDescent="0.2">
      <c r="E334" s="10"/>
      <c r="F334" s="53"/>
      <c r="G334" s="9"/>
      <c r="J334" s="17"/>
      <c r="K334" s="17"/>
    </row>
    <row r="335" spans="5:11" x14ac:dyDescent="0.2">
      <c r="E335" s="10"/>
      <c r="F335" s="53"/>
      <c r="G335" s="9"/>
      <c r="J335" s="17"/>
      <c r="K335" s="17"/>
    </row>
    <row r="336" spans="5:11" x14ac:dyDescent="0.2">
      <c r="E336" s="10"/>
      <c r="F336" s="53"/>
      <c r="G336" s="9"/>
      <c r="J336" s="17"/>
      <c r="K336" s="17"/>
    </row>
    <row r="337" spans="5:11" x14ac:dyDescent="0.2">
      <c r="E337" s="10"/>
      <c r="F337" s="53"/>
      <c r="G337" s="9"/>
      <c r="J337" s="17"/>
      <c r="K337" s="17"/>
    </row>
    <row r="338" spans="5:11" x14ac:dyDescent="0.2">
      <c r="E338" s="10"/>
      <c r="F338" s="53"/>
      <c r="G338" s="9"/>
      <c r="J338" s="17"/>
      <c r="K338" s="17"/>
    </row>
    <row r="339" spans="5:11" x14ac:dyDescent="0.2">
      <c r="E339" s="10"/>
      <c r="F339" s="53"/>
      <c r="G339" s="9"/>
      <c r="J339" s="17"/>
      <c r="K339" s="17"/>
    </row>
    <row r="340" spans="5:11" x14ac:dyDescent="0.2">
      <c r="E340" s="10"/>
      <c r="F340" s="53"/>
      <c r="G340" s="9"/>
      <c r="J340" s="17"/>
      <c r="K340" s="17"/>
    </row>
    <row r="341" spans="5:11" x14ac:dyDescent="0.2">
      <c r="E341" s="10"/>
      <c r="F341" s="53"/>
      <c r="G341" s="9"/>
      <c r="J341" s="17"/>
      <c r="K341" s="17"/>
    </row>
    <row r="342" spans="5:11" x14ac:dyDescent="0.2">
      <c r="E342" s="10"/>
      <c r="F342" s="53"/>
      <c r="G342" s="9"/>
      <c r="J342" s="17"/>
      <c r="K342" s="17"/>
    </row>
    <row r="343" spans="5:11" x14ac:dyDescent="0.2">
      <c r="E343" s="10"/>
      <c r="F343" s="53"/>
      <c r="G343" s="9"/>
      <c r="J343" s="17"/>
      <c r="K343" s="17"/>
    </row>
    <row r="344" spans="5:11" x14ac:dyDescent="0.2">
      <c r="E344" s="10"/>
      <c r="F344" s="53"/>
      <c r="G344" s="9"/>
      <c r="J344" s="17"/>
      <c r="K344" s="17"/>
    </row>
    <row r="345" spans="5:11" x14ac:dyDescent="0.2">
      <c r="E345" s="10"/>
      <c r="F345" s="53"/>
      <c r="G345" s="9"/>
      <c r="J345" s="17"/>
      <c r="K345" s="17"/>
    </row>
    <row r="346" spans="5:11" x14ac:dyDescent="0.2">
      <c r="E346" s="10"/>
      <c r="F346" s="53"/>
      <c r="G346" s="9"/>
      <c r="J346" s="17"/>
      <c r="K346" s="17"/>
    </row>
    <row r="347" spans="5:11" x14ac:dyDescent="0.2">
      <c r="E347" s="10"/>
      <c r="F347" s="53"/>
      <c r="G347" s="9"/>
      <c r="J347" s="17"/>
      <c r="K347" s="17"/>
    </row>
    <row r="348" spans="5:11" x14ac:dyDescent="0.2">
      <c r="E348" s="10"/>
      <c r="F348" s="53"/>
      <c r="G348" s="9"/>
      <c r="J348" s="17"/>
      <c r="K348" s="17"/>
    </row>
    <row r="349" spans="5:11" x14ac:dyDescent="0.2">
      <c r="E349" s="10"/>
      <c r="F349" s="53"/>
      <c r="G349" s="9"/>
      <c r="J349" s="17"/>
      <c r="K349" s="17"/>
    </row>
    <row r="350" spans="5:11" x14ac:dyDescent="0.2">
      <c r="E350" s="10"/>
      <c r="F350" s="53"/>
      <c r="G350" s="9"/>
      <c r="J350" s="17"/>
      <c r="K350" s="17"/>
    </row>
    <row r="351" spans="5:11" x14ac:dyDescent="0.2">
      <c r="E351" s="10"/>
      <c r="F351" s="53"/>
      <c r="G351" s="9"/>
      <c r="J351" s="17"/>
      <c r="K351" s="17"/>
    </row>
    <row r="352" spans="5:11" x14ac:dyDescent="0.2">
      <c r="E352" s="10"/>
      <c r="F352" s="53"/>
      <c r="G352" s="9"/>
      <c r="J352" s="17"/>
      <c r="K352" s="17"/>
    </row>
    <row r="353" spans="5:11" x14ac:dyDescent="0.2">
      <c r="E353" s="10"/>
      <c r="F353" s="53"/>
      <c r="G353" s="9"/>
      <c r="J353" s="17"/>
      <c r="K353" s="17"/>
    </row>
    <row r="354" spans="5:11" x14ac:dyDescent="0.2">
      <c r="E354" s="10"/>
      <c r="F354" s="53"/>
      <c r="G354" s="9"/>
      <c r="J354" s="17"/>
      <c r="K354" s="17"/>
    </row>
    <row r="355" spans="5:11" x14ac:dyDescent="0.2">
      <c r="E355" s="10"/>
      <c r="F355" s="53"/>
      <c r="G355" s="9"/>
      <c r="J355" s="17"/>
      <c r="K355" s="17"/>
    </row>
    <row r="356" spans="5:11" x14ac:dyDescent="0.2">
      <c r="E356" s="10"/>
      <c r="F356" s="53"/>
      <c r="G356" s="9"/>
      <c r="J356" s="17"/>
      <c r="K356" s="17"/>
    </row>
    <row r="357" spans="5:11" x14ac:dyDescent="0.2">
      <c r="E357" s="10"/>
      <c r="F357" s="53"/>
      <c r="G357" s="9"/>
      <c r="J357" s="17"/>
      <c r="K357" s="17"/>
    </row>
    <row r="358" spans="5:11" x14ac:dyDescent="0.2">
      <c r="E358" s="10"/>
      <c r="F358" s="53"/>
      <c r="G358" s="9"/>
      <c r="J358" s="17"/>
      <c r="K358" s="17"/>
    </row>
    <row r="359" spans="5:11" x14ac:dyDescent="0.2">
      <c r="E359" s="10"/>
      <c r="F359" s="53"/>
      <c r="G359" s="9"/>
      <c r="J359" s="17"/>
      <c r="K359" s="17"/>
    </row>
    <row r="360" spans="5:11" x14ac:dyDescent="0.2">
      <c r="E360" s="10"/>
      <c r="F360" s="53"/>
      <c r="G360" s="9"/>
      <c r="J360" s="17"/>
      <c r="K360" s="17"/>
    </row>
    <row r="361" spans="5:11" x14ac:dyDescent="0.2">
      <c r="E361" s="10"/>
      <c r="F361" s="53"/>
      <c r="G361" s="9"/>
      <c r="J361" s="17"/>
      <c r="K361" s="17"/>
    </row>
    <row r="362" spans="5:11" x14ac:dyDescent="0.2">
      <c r="E362" s="10"/>
      <c r="F362" s="53"/>
      <c r="G362" s="9"/>
      <c r="J362" s="17"/>
      <c r="K362" s="17"/>
    </row>
    <row r="363" spans="5:11" x14ac:dyDescent="0.2">
      <c r="E363" s="10"/>
      <c r="F363" s="53"/>
      <c r="G363" s="9"/>
      <c r="J363" s="17"/>
      <c r="K363" s="17"/>
    </row>
    <row r="364" spans="5:11" x14ac:dyDescent="0.2">
      <c r="E364" s="10"/>
      <c r="F364" s="53"/>
      <c r="G364" s="9"/>
      <c r="J364" s="17"/>
      <c r="K364" s="17"/>
    </row>
    <row r="365" spans="5:11" x14ac:dyDescent="0.2">
      <c r="E365" s="10"/>
      <c r="F365" s="53"/>
      <c r="G365" s="9"/>
      <c r="J365" s="17"/>
      <c r="K365" s="17"/>
    </row>
    <row r="366" spans="5:11" x14ac:dyDescent="0.2">
      <c r="E366" s="10"/>
      <c r="F366" s="53"/>
      <c r="G366" s="9"/>
      <c r="J366" s="17"/>
      <c r="K366" s="17"/>
    </row>
    <row r="367" spans="5:11" x14ac:dyDescent="0.2">
      <c r="E367" s="10"/>
      <c r="F367" s="53"/>
      <c r="G367" s="9"/>
      <c r="J367" s="17"/>
      <c r="K367" s="17"/>
    </row>
    <row r="368" spans="5:11" x14ac:dyDescent="0.2">
      <c r="E368" s="10"/>
      <c r="F368" s="53"/>
      <c r="G368" s="9"/>
      <c r="J368" s="17"/>
      <c r="K368" s="17"/>
    </row>
    <row r="369" spans="5:11" x14ac:dyDescent="0.2">
      <c r="E369" s="10"/>
      <c r="F369" s="53"/>
      <c r="G369" s="9"/>
      <c r="J369" s="17"/>
      <c r="K369" s="17"/>
    </row>
    <row r="370" spans="5:11" x14ac:dyDescent="0.2">
      <c r="E370" s="10"/>
      <c r="F370" s="53"/>
      <c r="G370" s="9"/>
      <c r="J370" s="17"/>
      <c r="K370" s="17"/>
    </row>
    <row r="371" spans="5:11" x14ac:dyDescent="0.2">
      <c r="E371" s="10"/>
      <c r="F371" s="53"/>
      <c r="G371" s="9"/>
      <c r="J371" s="17"/>
      <c r="K371" s="17"/>
    </row>
    <row r="372" spans="5:11" x14ac:dyDescent="0.2">
      <c r="E372" s="10"/>
      <c r="F372" s="53"/>
      <c r="G372" s="9"/>
      <c r="J372" s="17"/>
      <c r="K372" s="17"/>
    </row>
    <row r="373" spans="5:11" x14ac:dyDescent="0.2">
      <c r="E373" s="10"/>
      <c r="F373" s="53"/>
      <c r="G373" s="9"/>
      <c r="J373" s="17"/>
      <c r="K373" s="17"/>
    </row>
    <row r="374" spans="5:11" x14ac:dyDescent="0.2">
      <c r="E374" s="10"/>
      <c r="F374" s="53"/>
      <c r="G374" s="9"/>
      <c r="J374" s="17"/>
      <c r="K374" s="17"/>
    </row>
    <row r="375" spans="5:11" x14ac:dyDescent="0.2">
      <c r="E375" s="10"/>
      <c r="F375" s="53"/>
      <c r="G375" s="9"/>
      <c r="J375" s="17"/>
      <c r="K375" s="17"/>
    </row>
    <row r="376" spans="5:11" x14ac:dyDescent="0.2">
      <c r="E376" s="10"/>
      <c r="F376" s="53"/>
      <c r="G376" s="9"/>
      <c r="J376" s="17"/>
      <c r="K376" s="17"/>
    </row>
    <row r="377" spans="5:11" x14ac:dyDescent="0.2">
      <c r="E377" s="10"/>
      <c r="F377" s="53"/>
      <c r="G377" s="9"/>
      <c r="J377" s="17"/>
      <c r="K377" s="17"/>
    </row>
    <row r="378" spans="5:11" x14ac:dyDescent="0.2">
      <c r="E378" s="10"/>
      <c r="F378" s="53"/>
      <c r="G378" s="9"/>
      <c r="J378" s="17"/>
      <c r="K378" s="17"/>
    </row>
    <row r="379" spans="5:11" x14ac:dyDescent="0.2">
      <c r="E379" s="10"/>
      <c r="F379" s="53"/>
      <c r="G379" s="9"/>
      <c r="J379" s="17"/>
      <c r="K379" s="17"/>
    </row>
    <row r="380" spans="5:11" x14ac:dyDescent="0.2">
      <c r="E380" s="10"/>
      <c r="F380" s="53"/>
      <c r="G380" s="9"/>
      <c r="J380" s="17"/>
      <c r="K380" s="17"/>
    </row>
    <row r="381" spans="5:11" x14ac:dyDescent="0.2">
      <c r="E381" s="10"/>
      <c r="F381" s="53"/>
      <c r="G381" s="9"/>
      <c r="J381" s="17"/>
      <c r="K381" s="17"/>
    </row>
    <row r="382" spans="5:11" x14ac:dyDescent="0.2">
      <c r="E382" s="10"/>
      <c r="F382" s="53"/>
      <c r="G382" s="9"/>
      <c r="J382" s="17"/>
      <c r="K382" s="17"/>
    </row>
    <row r="383" spans="5:11" x14ac:dyDescent="0.2">
      <c r="E383" s="10"/>
      <c r="F383" s="53"/>
      <c r="G383" s="9"/>
      <c r="J383" s="17"/>
      <c r="K383" s="17"/>
    </row>
    <row r="384" spans="5:11" x14ac:dyDescent="0.2">
      <c r="E384" s="10"/>
      <c r="F384" s="53"/>
      <c r="G384" s="9"/>
      <c r="J384" s="17"/>
      <c r="K384" s="17"/>
    </row>
    <row r="385" spans="5:11" x14ac:dyDescent="0.2">
      <c r="E385" s="10"/>
      <c r="F385" s="53"/>
      <c r="G385" s="9"/>
      <c r="J385" s="17"/>
      <c r="K385" s="17"/>
    </row>
    <row r="386" spans="5:11" x14ac:dyDescent="0.2">
      <c r="E386" s="10"/>
      <c r="F386" s="53"/>
      <c r="G386" s="9"/>
      <c r="J386" s="17"/>
      <c r="K386" s="17"/>
    </row>
    <row r="387" spans="5:11" x14ac:dyDescent="0.2">
      <c r="E387" s="10"/>
      <c r="F387" s="53"/>
      <c r="G387" s="9"/>
      <c r="J387" s="17"/>
      <c r="K387" s="17"/>
    </row>
    <row r="388" spans="5:11" x14ac:dyDescent="0.2">
      <c r="E388" s="10"/>
      <c r="F388" s="53"/>
      <c r="G388" s="9"/>
      <c r="J388" s="17"/>
      <c r="K388" s="17"/>
    </row>
    <row r="389" spans="5:11" x14ac:dyDescent="0.2">
      <c r="E389" s="10"/>
      <c r="F389" s="53"/>
      <c r="G389" s="9"/>
      <c r="J389" s="17"/>
      <c r="K389" s="17"/>
    </row>
    <row r="390" spans="5:11" x14ac:dyDescent="0.2">
      <c r="E390" s="10"/>
      <c r="F390" s="53"/>
      <c r="G390" s="9"/>
      <c r="J390" s="17"/>
      <c r="K390" s="17"/>
    </row>
    <row r="391" spans="5:11" x14ac:dyDescent="0.2">
      <c r="E391" s="10"/>
      <c r="F391" s="53"/>
      <c r="G391" s="9"/>
      <c r="J391" s="17"/>
      <c r="K391" s="17"/>
    </row>
    <row r="392" spans="5:11" x14ac:dyDescent="0.2">
      <c r="E392" s="10"/>
      <c r="F392" s="53"/>
      <c r="G392" s="9"/>
      <c r="J392" s="17"/>
      <c r="K392" s="17"/>
    </row>
    <row r="393" spans="5:11" x14ac:dyDescent="0.2">
      <c r="E393" s="10"/>
      <c r="F393" s="53"/>
      <c r="G393" s="9"/>
      <c r="J393" s="17"/>
      <c r="K393" s="17"/>
    </row>
    <row r="394" spans="5:11" x14ac:dyDescent="0.2">
      <c r="E394" s="10"/>
      <c r="F394" s="53"/>
      <c r="G394" s="9"/>
      <c r="J394" s="17"/>
      <c r="K394" s="17"/>
    </row>
    <row r="395" spans="5:11" x14ac:dyDescent="0.2">
      <c r="E395" s="10"/>
      <c r="F395" s="53"/>
      <c r="G395" s="9"/>
      <c r="J395" s="17"/>
      <c r="K395" s="17"/>
    </row>
    <row r="396" spans="5:11" x14ac:dyDescent="0.2">
      <c r="E396" s="10"/>
      <c r="F396" s="53"/>
      <c r="G396" s="9"/>
      <c r="J396" s="17"/>
      <c r="K396" s="17"/>
    </row>
    <row r="397" spans="5:11" x14ac:dyDescent="0.2">
      <c r="E397" s="10"/>
      <c r="F397" s="53"/>
      <c r="G397" s="9"/>
      <c r="J397" s="17"/>
      <c r="K397" s="17"/>
    </row>
    <row r="398" spans="5:11" x14ac:dyDescent="0.2">
      <c r="E398" s="10"/>
      <c r="F398" s="53"/>
      <c r="G398" s="9"/>
      <c r="J398" s="17"/>
      <c r="K398" s="17"/>
    </row>
    <row r="399" spans="5:11" x14ac:dyDescent="0.2">
      <c r="E399" s="10"/>
      <c r="F399" s="53"/>
      <c r="G399" s="9"/>
      <c r="J399" s="17"/>
      <c r="K399" s="17"/>
    </row>
    <row r="400" spans="5:11" x14ac:dyDescent="0.2">
      <c r="E400" s="10"/>
      <c r="F400" s="53"/>
      <c r="G400" s="9"/>
      <c r="J400" s="17"/>
      <c r="K400" s="17"/>
    </row>
    <row r="401" spans="5:11" x14ac:dyDescent="0.2">
      <c r="E401" s="10"/>
      <c r="F401" s="53"/>
      <c r="G401" s="9"/>
      <c r="J401" s="17"/>
      <c r="K401" s="17"/>
    </row>
    <row r="402" spans="5:11" x14ac:dyDescent="0.2">
      <c r="E402" s="10"/>
      <c r="F402" s="53"/>
      <c r="G402" s="9"/>
      <c r="J402" s="17"/>
      <c r="K402" s="17"/>
    </row>
    <row r="403" spans="5:11" x14ac:dyDescent="0.2">
      <c r="E403" s="10"/>
      <c r="F403" s="53"/>
      <c r="G403" s="9"/>
      <c r="J403" s="17"/>
      <c r="K403" s="17"/>
    </row>
    <row r="404" spans="5:11" x14ac:dyDescent="0.2">
      <c r="E404" s="10"/>
      <c r="F404" s="53"/>
      <c r="G404" s="9"/>
      <c r="J404" s="17"/>
      <c r="K404" s="17"/>
    </row>
    <row r="405" spans="5:11" x14ac:dyDescent="0.2">
      <c r="E405" s="10"/>
      <c r="F405" s="53"/>
      <c r="G405" s="9"/>
      <c r="J405" s="17"/>
      <c r="K405" s="17"/>
    </row>
    <row r="406" spans="5:11" x14ac:dyDescent="0.2">
      <c r="E406" s="10"/>
      <c r="F406" s="53"/>
      <c r="G406" s="9"/>
      <c r="J406" s="17"/>
      <c r="K406" s="17"/>
    </row>
    <row r="407" spans="5:11" x14ac:dyDescent="0.2">
      <c r="E407" s="10"/>
      <c r="F407" s="53"/>
      <c r="G407" s="9"/>
      <c r="J407" s="17"/>
      <c r="K407" s="17"/>
    </row>
    <row r="408" spans="5:11" x14ac:dyDescent="0.2">
      <c r="E408" s="10"/>
      <c r="F408" s="53"/>
      <c r="G408" s="9"/>
      <c r="J408" s="17"/>
      <c r="K408" s="17"/>
    </row>
    <row r="409" spans="5:11" x14ac:dyDescent="0.2">
      <c r="E409" s="10"/>
      <c r="F409" s="53"/>
      <c r="G409" s="9"/>
      <c r="J409" s="17"/>
      <c r="K409" s="17"/>
    </row>
    <row r="410" spans="5:11" x14ac:dyDescent="0.2">
      <c r="E410" s="10"/>
      <c r="F410" s="53"/>
      <c r="G410" s="9"/>
      <c r="J410" s="17"/>
      <c r="K410" s="17"/>
    </row>
    <row r="411" spans="5:11" x14ac:dyDescent="0.2">
      <c r="E411" s="10"/>
      <c r="F411" s="53"/>
      <c r="G411" s="9"/>
      <c r="J411" s="17"/>
      <c r="K411" s="17"/>
    </row>
    <row r="412" spans="5:11" x14ac:dyDescent="0.2">
      <c r="E412" s="10"/>
      <c r="F412" s="53"/>
      <c r="G412" s="9"/>
      <c r="J412" s="17"/>
      <c r="K412" s="17"/>
    </row>
    <row r="413" spans="5:11" x14ac:dyDescent="0.2">
      <c r="E413" s="10"/>
      <c r="F413" s="53"/>
      <c r="G413" s="9"/>
      <c r="J413" s="17"/>
      <c r="K413" s="17"/>
    </row>
    <row r="414" spans="5:11" x14ac:dyDescent="0.2">
      <c r="E414" s="10"/>
      <c r="F414" s="53"/>
      <c r="G414" s="9"/>
      <c r="J414" s="17"/>
      <c r="K414" s="17"/>
    </row>
    <row r="415" spans="5:11" x14ac:dyDescent="0.2">
      <c r="E415" s="10"/>
      <c r="F415" s="53"/>
      <c r="G415" s="9"/>
      <c r="J415" s="17"/>
      <c r="K415" s="17"/>
    </row>
    <row r="416" spans="5:11" x14ac:dyDescent="0.2">
      <c r="E416" s="10"/>
      <c r="F416" s="53"/>
      <c r="G416" s="9"/>
      <c r="J416" s="17"/>
      <c r="K416" s="17"/>
    </row>
    <row r="417" spans="5:11" x14ac:dyDescent="0.2">
      <c r="E417" s="10"/>
      <c r="F417" s="53"/>
      <c r="G417" s="9"/>
      <c r="J417" s="17"/>
      <c r="K417" s="17"/>
    </row>
    <row r="418" spans="5:11" x14ac:dyDescent="0.2">
      <c r="E418" s="10"/>
      <c r="F418" s="53"/>
      <c r="G418" s="9"/>
      <c r="J418" s="17"/>
      <c r="K418" s="17"/>
    </row>
    <row r="419" spans="5:11" x14ac:dyDescent="0.2">
      <c r="E419" s="10"/>
      <c r="F419" s="53"/>
      <c r="G419" s="9"/>
      <c r="J419" s="17"/>
      <c r="K419" s="17"/>
    </row>
    <row r="420" spans="5:11" x14ac:dyDescent="0.2">
      <c r="E420" s="10"/>
      <c r="F420" s="53"/>
      <c r="G420" s="9"/>
      <c r="J420" s="17"/>
      <c r="K420" s="17"/>
    </row>
    <row r="421" spans="5:11" x14ac:dyDescent="0.2">
      <c r="E421" s="10"/>
      <c r="F421" s="53"/>
      <c r="G421" s="9"/>
      <c r="J421" s="17"/>
      <c r="K421" s="17"/>
    </row>
    <row r="422" spans="5:11" x14ac:dyDescent="0.2">
      <c r="E422" s="10"/>
      <c r="F422" s="53"/>
      <c r="G422" s="9"/>
      <c r="J422" s="17"/>
      <c r="K422" s="17"/>
    </row>
    <row r="423" spans="5:11" x14ac:dyDescent="0.2">
      <c r="E423" s="10"/>
      <c r="F423" s="53"/>
      <c r="G423" s="9"/>
      <c r="J423" s="17"/>
      <c r="K423" s="17"/>
    </row>
    <row r="424" spans="5:11" x14ac:dyDescent="0.2">
      <c r="E424" s="10"/>
      <c r="F424" s="53"/>
      <c r="G424" s="9"/>
      <c r="J424" s="17"/>
      <c r="K424" s="17"/>
    </row>
    <row r="425" spans="5:11" x14ac:dyDescent="0.2">
      <c r="E425" s="10"/>
      <c r="F425" s="53"/>
      <c r="G425" s="9"/>
      <c r="J425" s="17"/>
      <c r="K425" s="17"/>
    </row>
    <row r="426" spans="5:11" x14ac:dyDescent="0.2">
      <c r="E426" s="10"/>
      <c r="F426" s="53"/>
      <c r="G426" s="9"/>
      <c r="J426" s="17"/>
      <c r="K426" s="17"/>
    </row>
    <row r="427" spans="5:11" x14ac:dyDescent="0.2">
      <c r="E427" s="10"/>
      <c r="F427" s="53"/>
      <c r="G427" s="9"/>
      <c r="J427" s="17"/>
      <c r="K427" s="17"/>
    </row>
    <row r="428" spans="5:11" x14ac:dyDescent="0.2">
      <c r="E428" s="10"/>
      <c r="F428" s="53"/>
      <c r="G428" s="9"/>
      <c r="J428" s="17"/>
      <c r="K428" s="17"/>
    </row>
    <row r="429" spans="5:11" x14ac:dyDescent="0.2">
      <c r="E429" s="10"/>
      <c r="F429" s="53"/>
      <c r="G429" s="9"/>
      <c r="J429" s="17"/>
      <c r="K429" s="17"/>
    </row>
    <row r="430" spans="5:11" x14ac:dyDescent="0.2">
      <c r="E430" s="10"/>
      <c r="F430" s="53"/>
      <c r="G430" s="9"/>
      <c r="J430" s="17"/>
      <c r="K430" s="17"/>
    </row>
    <row r="431" spans="5:11" x14ac:dyDescent="0.2">
      <c r="E431" s="10"/>
      <c r="F431" s="53"/>
      <c r="G431" s="9"/>
      <c r="J431" s="17"/>
      <c r="K431" s="17"/>
    </row>
    <row r="432" spans="5:11" x14ac:dyDescent="0.2">
      <c r="E432" s="10"/>
      <c r="F432" s="53"/>
      <c r="G432" s="9"/>
      <c r="J432" s="17"/>
      <c r="K432" s="17"/>
    </row>
    <row r="433" spans="5:11" x14ac:dyDescent="0.2">
      <c r="E433" s="10"/>
      <c r="F433" s="53"/>
      <c r="G433" s="9"/>
      <c r="J433" s="17"/>
      <c r="K433" s="17"/>
    </row>
    <row r="434" spans="5:11" x14ac:dyDescent="0.2">
      <c r="E434" s="10"/>
      <c r="F434" s="53"/>
      <c r="G434" s="9"/>
      <c r="J434" s="17"/>
      <c r="K434" s="17"/>
    </row>
    <row r="435" spans="5:11" x14ac:dyDescent="0.2">
      <c r="E435" s="10"/>
      <c r="F435" s="53"/>
      <c r="G435" s="9"/>
      <c r="J435" s="17"/>
      <c r="K435" s="17"/>
    </row>
    <row r="436" spans="5:11" x14ac:dyDescent="0.2">
      <c r="E436" s="10"/>
      <c r="F436" s="53"/>
      <c r="G436" s="9"/>
      <c r="J436" s="17"/>
      <c r="K436" s="17"/>
    </row>
    <row r="437" spans="5:11" x14ac:dyDescent="0.2">
      <c r="E437" s="10"/>
      <c r="F437" s="53"/>
      <c r="G437" s="9"/>
      <c r="J437" s="17"/>
      <c r="K437" s="17"/>
    </row>
    <row r="438" spans="5:11" x14ac:dyDescent="0.2">
      <c r="E438" s="10"/>
      <c r="F438" s="53"/>
      <c r="G438" s="9"/>
      <c r="J438" s="17"/>
      <c r="K438" s="17"/>
    </row>
    <row r="439" spans="5:11" x14ac:dyDescent="0.2">
      <c r="E439" s="10"/>
      <c r="F439" s="53"/>
      <c r="G439" s="9"/>
      <c r="J439" s="17"/>
      <c r="K439" s="17"/>
    </row>
    <row r="440" spans="5:11" x14ac:dyDescent="0.2">
      <c r="E440" s="10"/>
      <c r="F440" s="53"/>
      <c r="G440" s="9"/>
      <c r="J440" s="17"/>
      <c r="K440" s="17"/>
    </row>
    <row r="441" spans="5:11" x14ac:dyDescent="0.2">
      <c r="E441" s="10"/>
      <c r="F441" s="53"/>
      <c r="G441" s="9"/>
      <c r="J441" s="17"/>
      <c r="K441" s="17"/>
    </row>
    <row r="442" spans="5:11" x14ac:dyDescent="0.2">
      <c r="E442" s="10"/>
      <c r="F442" s="53"/>
      <c r="G442" s="9"/>
      <c r="J442" s="17"/>
      <c r="K442" s="17"/>
    </row>
    <row r="443" spans="5:11" x14ac:dyDescent="0.2">
      <c r="E443" s="10"/>
      <c r="F443" s="53"/>
      <c r="G443" s="9"/>
      <c r="J443" s="17"/>
      <c r="K443" s="17"/>
    </row>
    <row r="444" spans="5:11" x14ac:dyDescent="0.2">
      <c r="E444" s="10"/>
      <c r="F444" s="53"/>
      <c r="G444" s="9"/>
      <c r="J444" s="17"/>
      <c r="K444" s="17"/>
    </row>
    <row r="445" spans="5:11" x14ac:dyDescent="0.2">
      <c r="E445" s="10"/>
      <c r="F445" s="53"/>
      <c r="G445" s="9"/>
      <c r="J445" s="17"/>
      <c r="K445" s="17"/>
    </row>
    <row r="446" spans="5:11" x14ac:dyDescent="0.2">
      <c r="E446" s="10"/>
      <c r="F446" s="53"/>
      <c r="G446" s="9"/>
      <c r="J446" s="17"/>
      <c r="K446" s="17"/>
    </row>
    <row r="447" spans="5:11" x14ac:dyDescent="0.2">
      <c r="E447" s="10"/>
      <c r="F447" s="53"/>
      <c r="G447" s="9"/>
      <c r="J447" s="17"/>
      <c r="K447" s="17"/>
    </row>
    <row r="448" spans="5:11" x14ac:dyDescent="0.2">
      <c r="E448" s="10"/>
      <c r="F448" s="53"/>
      <c r="G448" s="9"/>
      <c r="J448" s="17"/>
      <c r="K448" s="17"/>
    </row>
    <row r="449" spans="5:11" x14ac:dyDescent="0.2">
      <c r="E449" s="10"/>
      <c r="F449" s="53"/>
      <c r="G449" s="9"/>
      <c r="J449" s="17"/>
      <c r="K449" s="17"/>
    </row>
    <row r="450" spans="5:11" x14ac:dyDescent="0.2">
      <c r="E450" s="10"/>
      <c r="F450" s="53"/>
      <c r="G450" s="9"/>
      <c r="J450" s="17"/>
      <c r="K450" s="17"/>
    </row>
    <row r="451" spans="5:11" x14ac:dyDescent="0.2">
      <c r="E451" s="10"/>
      <c r="F451" s="53"/>
      <c r="G451" s="9"/>
      <c r="J451" s="17"/>
      <c r="K451" s="17"/>
    </row>
    <row r="452" spans="5:11" x14ac:dyDescent="0.2">
      <c r="E452" s="10"/>
      <c r="F452" s="53"/>
      <c r="G452" s="9"/>
      <c r="J452" s="17"/>
      <c r="K452" s="17"/>
    </row>
    <row r="453" spans="5:11" x14ac:dyDescent="0.2">
      <c r="E453" s="10"/>
      <c r="F453" s="53"/>
      <c r="G453" s="9"/>
      <c r="J453" s="17"/>
      <c r="K453" s="17"/>
    </row>
    <row r="454" spans="5:11" x14ac:dyDescent="0.2">
      <c r="E454" s="10"/>
      <c r="F454" s="53"/>
      <c r="G454" s="9"/>
      <c r="J454" s="17"/>
      <c r="K454" s="17"/>
    </row>
    <row r="455" spans="5:11" x14ac:dyDescent="0.2">
      <c r="E455" s="10"/>
      <c r="F455" s="53"/>
      <c r="G455" s="9"/>
      <c r="J455" s="17"/>
      <c r="K455" s="17"/>
    </row>
    <row r="456" spans="5:11" x14ac:dyDescent="0.2">
      <c r="E456" s="10"/>
      <c r="F456" s="53"/>
      <c r="G456" s="9"/>
      <c r="J456" s="17"/>
      <c r="K456" s="17"/>
    </row>
    <row r="457" spans="5:11" x14ac:dyDescent="0.2">
      <c r="E457" s="10"/>
      <c r="F457" s="53"/>
      <c r="G457" s="9"/>
      <c r="J457" s="17"/>
      <c r="K457" s="17"/>
    </row>
    <row r="458" spans="5:11" x14ac:dyDescent="0.2">
      <c r="E458" s="10"/>
      <c r="F458" s="53"/>
      <c r="G458" s="9"/>
      <c r="J458" s="17"/>
      <c r="K458" s="17"/>
    </row>
    <row r="459" spans="5:11" x14ac:dyDescent="0.2">
      <c r="E459" s="10"/>
      <c r="F459" s="53"/>
      <c r="G459" s="9"/>
      <c r="J459" s="17"/>
      <c r="K459" s="17"/>
    </row>
    <row r="460" spans="5:11" x14ac:dyDescent="0.2">
      <c r="E460" s="10"/>
      <c r="F460" s="53"/>
      <c r="G460" s="9"/>
      <c r="J460" s="17"/>
      <c r="K460" s="17"/>
    </row>
    <row r="461" spans="5:11" x14ac:dyDescent="0.2">
      <c r="E461" s="10"/>
      <c r="F461" s="53"/>
      <c r="G461" s="9"/>
      <c r="J461" s="17"/>
      <c r="K461" s="17"/>
    </row>
    <row r="462" spans="5:11" x14ac:dyDescent="0.2">
      <c r="E462" s="10"/>
      <c r="F462" s="53"/>
      <c r="G462" s="9"/>
      <c r="J462" s="17"/>
      <c r="K462" s="17"/>
    </row>
    <row r="463" spans="5:11" x14ac:dyDescent="0.2">
      <c r="E463" s="10"/>
      <c r="F463" s="53"/>
      <c r="G463" s="9"/>
      <c r="J463" s="17"/>
      <c r="K463" s="17"/>
    </row>
    <row r="464" spans="5:11" x14ac:dyDescent="0.2">
      <c r="E464" s="10"/>
      <c r="F464" s="53"/>
      <c r="G464" s="9"/>
      <c r="J464" s="17"/>
      <c r="K464" s="17"/>
    </row>
    <row r="465" spans="5:11" x14ac:dyDescent="0.2">
      <c r="E465" s="10"/>
      <c r="F465" s="53"/>
      <c r="G465" s="9"/>
      <c r="J465" s="17"/>
      <c r="K465" s="17"/>
    </row>
    <row r="466" spans="5:11" x14ac:dyDescent="0.2">
      <c r="E466" s="10"/>
      <c r="F466" s="53"/>
      <c r="G466" s="9"/>
      <c r="J466" s="17"/>
      <c r="K466" s="17"/>
    </row>
    <row r="467" spans="5:11" x14ac:dyDescent="0.2">
      <c r="E467" s="10"/>
      <c r="F467" s="53"/>
      <c r="G467" s="9"/>
      <c r="J467" s="17"/>
      <c r="K467" s="17"/>
    </row>
    <row r="468" spans="5:11" x14ac:dyDescent="0.2">
      <c r="E468" s="10"/>
      <c r="F468" s="53"/>
      <c r="G468" s="9"/>
      <c r="J468" s="17"/>
      <c r="K468" s="17"/>
    </row>
    <row r="469" spans="5:11" x14ac:dyDescent="0.2">
      <c r="E469" s="10"/>
      <c r="F469" s="53"/>
      <c r="G469" s="9"/>
      <c r="J469" s="17"/>
      <c r="K469" s="17"/>
    </row>
    <row r="470" spans="5:11" x14ac:dyDescent="0.2">
      <c r="E470" s="10"/>
      <c r="F470" s="53"/>
      <c r="G470" s="9"/>
      <c r="J470" s="17"/>
      <c r="K470" s="17"/>
    </row>
    <row r="471" spans="5:11" x14ac:dyDescent="0.2">
      <c r="E471" s="10"/>
      <c r="F471" s="53"/>
      <c r="G471" s="9"/>
      <c r="J471" s="17"/>
      <c r="K471" s="17"/>
    </row>
    <row r="472" spans="5:11" x14ac:dyDescent="0.2">
      <c r="E472" s="10"/>
      <c r="F472" s="53"/>
      <c r="G472" s="9"/>
      <c r="J472" s="17"/>
      <c r="K472" s="17"/>
    </row>
    <row r="473" spans="5:11" x14ac:dyDescent="0.2">
      <c r="E473" s="10"/>
      <c r="F473" s="53"/>
      <c r="G473" s="9"/>
      <c r="J473" s="17"/>
      <c r="K473" s="17"/>
    </row>
    <row r="474" spans="5:11" x14ac:dyDescent="0.2">
      <c r="E474" s="10"/>
      <c r="F474" s="53"/>
      <c r="G474" s="9"/>
      <c r="J474" s="17"/>
      <c r="K474" s="17"/>
    </row>
    <row r="475" spans="5:11" x14ac:dyDescent="0.2">
      <c r="E475" s="10"/>
      <c r="F475" s="53"/>
      <c r="G475" s="9"/>
      <c r="J475" s="17"/>
      <c r="K475" s="17"/>
    </row>
    <row r="476" spans="5:11" x14ac:dyDescent="0.2">
      <c r="E476" s="10"/>
      <c r="F476" s="53"/>
      <c r="G476" s="9"/>
      <c r="J476" s="17"/>
      <c r="K476" s="17"/>
    </row>
    <row r="477" spans="5:11" x14ac:dyDescent="0.2">
      <c r="E477" s="10"/>
      <c r="F477" s="53"/>
      <c r="G477" s="9"/>
      <c r="J477" s="17"/>
      <c r="K477" s="17"/>
    </row>
    <row r="478" spans="5:11" x14ac:dyDescent="0.2">
      <c r="E478" s="10"/>
      <c r="F478" s="53"/>
      <c r="G478" s="9"/>
      <c r="J478" s="17"/>
      <c r="K478" s="17"/>
    </row>
    <row r="479" spans="5:11" x14ac:dyDescent="0.2">
      <c r="E479" s="10"/>
      <c r="F479" s="53"/>
      <c r="G479" s="9"/>
      <c r="J479" s="17"/>
      <c r="K479" s="17"/>
    </row>
    <row r="480" spans="5:11" x14ac:dyDescent="0.2">
      <c r="E480" s="10"/>
      <c r="F480" s="53"/>
      <c r="G480" s="9"/>
      <c r="J480" s="17"/>
      <c r="K480" s="17"/>
    </row>
    <row r="481" spans="5:11" x14ac:dyDescent="0.2">
      <c r="E481" s="10"/>
      <c r="F481" s="53"/>
      <c r="G481" s="9"/>
      <c r="J481" s="17"/>
      <c r="K481" s="17"/>
    </row>
    <row r="482" spans="5:11" x14ac:dyDescent="0.2">
      <c r="E482" s="10"/>
      <c r="F482" s="53"/>
      <c r="G482" s="9"/>
      <c r="J482" s="17"/>
      <c r="K482" s="17"/>
    </row>
    <row r="483" spans="5:11" x14ac:dyDescent="0.2">
      <c r="E483" s="10"/>
      <c r="F483" s="53"/>
      <c r="G483" s="9"/>
      <c r="J483" s="17"/>
      <c r="K483" s="17"/>
    </row>
    <row r="484" spans="5:11" x14ac:dyDescent="0.2">
      <c r="E484" s="10"/>
      <c r="F484" s="53"/>
      <c r="G484" s="9"/>
      <c r="J484" s="17"/>
      <c r="K484" s="17"/>
    </row>
    <row r="485" spans="5:11" x14ac:dyDescent="0.2">
      <c r="E485" s="10"/>
      <c r="F485" s="53"/>
      <c r="G485" s="9"/>
      <c r="J485" s="17"/>
      <c r="K485" s="17"/>
    </row>
    <row r="486" spans="5:11" x14ac:dyDescent="0.2">
      <c r="E486" s="10"/>
      <c r="F486" s="53"/>
      <c r="G486" s="9"/>
      <c r="J486" s="17"/>
      <c r="K486" s="17"/>
    </row>
    <row r="487" spans="5:11" x14ac:dyDescent="0.2">
      <c r="E487" s="10"/>
      <c r="F487" s="53"/>
      <c r="G487" s="9"/>
      <c r="J487" s="17"/>
      <c r="K487" s="17"/>
    </row>
    <row r="488" spans="5:11" x14ac:dyDescent="0.2">
      <c r="E488" s="10"/>
      <c r="F488" s="53"/>
      <c r="G488" s="9"/>
      <c r="J488" s="17"/>
      <c r="K488" s="17"/>
    </row>
    <row r="489" spans="5:11" x14ac:dyDescent="0.2">
      <c r="E489" s="10"/>
      <c r="F489" s="53"/>
      <c r="G489" s="9"/>
      <c r="J489" s="17"/>
      <c r="K489" s="17"/>
    </row>
    <row r="490" spans="5:11" x14ac:dyDescent="0.2">
      <c r="E490" s="10"/>
      <c r="F490" s="53"/>
      <c r="G490" s="9"/>
      <c r="J490" s="17"/>
      <c r="K490" s="17"/>
    </row>
    <row r="491" spans="5:11" x14ac:dyDescent="0.2">
      <c r="E491" s="10"/>
      <c r="F491" s="53"/>
      <c r="G491" s="9"/>
      <c r="J491" s="17"/>
      <c r="K491" s="17"/>
    </row>
    <row r="492" spans="5:11" x14ac:dyDescent="0.2">
      <c r="E492" s="10"/>
      <c r="F492" s="53"/>
      <c r="G492" s="9"/>
      <c r="J492" s="17"/>
      <c r="K492" s="17"/>
    </row>
    <row r="493" spans="5:11" x14ac:dyDescent="0.2">
      <c r="E493" s="10"/>
      <c r="F493" s="53"/>
      <c r="G493" s="9"/>
      <c r="J493" s="17"/>
      <c r="K493" s="17"/>
    </row>
    <row r="494" spans="5:11" x14ac:dyDescent="0.2">
      <c r="E494" s="10"/>
      <c r="F494" s="53"/>
      <c r="G494" s="9"/>
      <c r="J494" s="17"/>
      <c r="K494" s="17"/>
    </row>
    <row r="495" spans="5:11" x14ac:dyDescent="0.2">
      <c r="E495" s="10"/>
      <c r="F495" s="53"/>
      <c r="G495" s="9"/>
      <c r="J495" s="17"/>
      <c r="K495" s="17"/>
    </row>
    <row r="496" spans="5:11" x14ac:dyDescent="0.2">
      <c r="E496" s="10"/>
      <c r="F496" s="53"/>
      <c r="G496" s="9"/>
      <c r="J496" s="17"/>
      <c r="K496" s="17"/>
    </row>
    <row r="497" spans="5:11" x14ac:dyDescent="0.2">
      <c r="E497" s="10"/>
      <c r="F497" s="53"/>
      <c r="G497" s="9"/>
      <c r="J497" s="17"/>
      <c r="K497" s="17"/>
    </row>
    <row r="498" spans="5:11" x14ac:dyDescent="0.2">
      <c r="E498" s="10"/>
      <c r="F498" s="53"/>
      <c r="G498" s="9"/>
      <c r="J498" s="17"/>
      <c r="K498" s="17"/>
    </row>
    <row r="499" spans="5:11" x14ac:dyDescent="0.2">
      <c r="E499" s="10"/>
      <c r="F499" s="53"/>
      <c r="G499" s="9"/>
      <c r="J499" s="17"/>
      <c r="K499" s="17"/>
    </row>
    <row r="500" spans="5:11" x14ac:dyDescent="0.2">
      <c r="E500" s="10"/>
      <c r="F500" s="53"/>
      <c r="G500" s="9"/>
      <c r="J500" s="17"/>
      <c r="K500" s="17"/>
    </row>
    <row r="501" spans="5:11" x14ac:dyDescent="0.2">
      <c r="E501" s="10"/>
      <c r="F501" s="53"/>
      <c r="G501" s="9"/>
      <c r="J501" s="17"/>
      <c r="K501" s="17"/>
    </row>
    <row r="502" spans="5:11" x14ac:dyDescent="0.2">
      <c r="E502" s="10"/>
      <c r="F502" s="53"/>
      <c r="G502" s="9"/>
      <c r="J502" s="17"/>
      <c r="K502" s="17"/>
    </row>
    <row r="503" spans="5:11" x14ac:dyDescent="0.2">
      <c r="E503" s="10"/>
      <c r="F503" s="53"/>
      <c r="G503" s="9"/>
      <c r="J503" s="17"/>
      <c r="K503" s="17"/>
    </row>
    <row r="504" spans="5:11" x14ac:dyDescent="0.2">
      <c r="E504" s="10"/>
      <c r="F504" s="53"/>
      <c r="G504" s="9"/>
      <c r="J504" s="17"/>
      <c r="K504" s="17"/>
    </row>
    <row r="505" spans="5:11" x14ac:dyDescent="0.2">
      <c r="E505" s="10"/>
      <c r="F505" s="53"/>
      <c r="G505" s="9"/>
      <c r="J505" s="17"/>
      <c r="K505" s="17"/>
    </row>
    <row r="506" spans="5:11" x14ac:dyDescent="0.2">
      <c r="E506" s="10"/>
      <c r="F506" s="53"/>
      <c r="G506" s="9"/>
      <c r="J506" s="17"/>
      <c r="K506" s="17"/>
    </row>
    <row r="507" spans="5:11" x14ac:dyDescent="0.2">
      <c r="E507" s="10"/>
      <c r="F507" s="53"/>
      <c r="G507" s="9"/>
      <c r="J507" s="17"/>
      <c r="K507" s="17"/>
    </row>
    <row r="508" spans="5:11" x14ac:dyDescent="0.2">
      <c r="E508" s="10"/>
      <c r="F508" s="53"/>
      <c r="G508" s="9"/>
      <c r="J508" s="17"/>
      <c r="K508" s="17"/>
    </row>
    <row r="509" spans="5:11" x14ac:dyDescent="0.2">
      <c r="E509" s="10"/>
      <c r="F509" s="53"/>
      <c r="G509" s="9"/>
      <c r="J509" s="17"/>
      <c r="K509" s="17"/>
    </row>
    <row r="510" spans="5:11" x14ac:dyDescent="0.2">
      <c r="E510" s="10"/>
      <c r="F510" s="53"/>
      <c r="G510" s="9"/>
      <c r="J510" s="17"/>
      <c r="K510" s="17"/>
    </row>
    <row r="511" spans="5:11" x14ac:dyDescent="0.2">
      <c r="E511" s="10"/>
      <c r="F511" s="53"/>
      <c r="G511" s="9"/>
      <c r="J511" s="17"/>
      <c r="K511" s="17"/>
    </row>
    <row r="512" spans="5:11" x14ac:dyDescent="0.2">
      <c r="E512" s="10"/>
      <c r="F512" s="53"/>
      <c r="G512" s="9"/>
      <c r="J512" s="17"/>
      <c r="K512" s="17"/>
    </row>
    <row r="513" spans="5:11" x14ac:dyDescent="0.2">
      <c r="E513" s="10"/>
      <c r="F513" s="53"/>
      <c r="G513" s="9"/>
      <c r="J513" s="17"/>
      <c r="K513" s="17"/>
    </row>
    <row r="514" spans="5:11" x14ac:dyDescent="0.2">
      <c r="E514" s="10"/>
      <c r="F514" s="53"/>
      <c r="G514" s="9"/>
      <c r="J514" s="17"/>
      <c r="K514" s="17"/>
    </row>
    <row r="515" spans="5:11" x14ac:dyDescent="0.2">
      <c r="E515" s="10"/>
      <c r="F515" s="53"/>
      <c r="G515" s="9"/>
      <c r="J515" s="17"/>
      <c r="K515" s="17"/>
    </row>
    <row r="516" spans="5:11" x14ac:dyDescent="0.2">
      <c r="E516" s="10"/>
      <c r="F516" s="53"/>
      <c r="G516" s="9"/>
      <c r="J516" s="17"/>
      <c r="K516" s="17"/>
    </row>
    <row r="517" spans="5:11" x14ac:dyDescent="0.2">
      <c r="E517" s="10"/>
      <c r="F517" s="53"/>
      <c r="G517" s="9"/>
      <c r="J517" s="17"/>
      <c r="K517" s="17"/>
    </row>
    <row r="518" spans="5:11" x14ac:dyDescent="0.2">
      <c r="E518" s="10"/>
      <c r="F518" s="53"/>
      <c r="G518" s="9"/>
      <c r="J518" s="17"/>
      <c r="K518" s="17"/>
    </row>
    <row r="519" spans="5:11" x14ac:dyDescent="0.2">
      <c r="E519" s="10"/>
      <c r="F519" s="53"/>
      <c r="G519" s="9"/>
      <c r="J519" s="17"/>
      <c r="K519" s="17"/>
    </row>
    <row r="520" spans="5:11" x14ac:dyDescent="0.2">
      <c r="E520" s="10"/>
      <c r="F520" s="53"/>
      <c r="G520" s="9"/>
      <c r="J520" s="17"/>
      <c r="K520" s="17"/>
    </row>
    <row r="521" spans="5:11" x14ac:dyDescent="0.2">
      <c r="E521" s="10"/>
      <c r="F521" s="53"/>
      <c r="G521" s="9"/>
      <c r="J521" s="17"/>
      <c r="K521" s="17"/>
    </row>
    <row r="522" spans="5:11" x14ac:dyDescent="0.2">
      <c r="E522" s="10"/>
      <c r="F522" s="53"/>
      <c r="G522" s="9"/>
      <c r="J522" s="17"/>
      <c r="K522" s="17"/>
    </row>
    <row r="523" spans="5:11" x14ac:dyDescent="0.2">
      <c r="E523" s="10"/>
      <c r="F523" s="53"/>
      <c r="G523" s="9"/>
      <c r="J523" s="17"/>
      <c r="K523" s="17"/>
    </row>
    <row r="524" spans="5:11" x14ac:dyDescent="0.2">
      <c r="E524" s="10"/>
      <c r="F524" s="53"/>
      <c r="G524" s="9"/>
      <c r="J524" s="17"/>
      <c r="K524" s="17"/>
    </row>
    <row r="525" spans="5:11" x14ac:dyDescent="0.2">
      <c r="E525" s="10"/>
      <c r="F525" s="53"/>
      <c r="G525" s="9"/>
      <c r="J525" s="17"/>
      <c r="K525" s="17"/>
    </row>
    <row r="526" spans="5:11" x14ac:dyDescent="0.2">
      <c r="E526" s="10"/>
      <c r="F526" s="53"/>
      <c r="G526" s="9"/>
      <c r="J526" s="17"/>
      <c r="K526" s="17"/>
    </row>
    <row r="527" spans="5:11" x14ac:dyDescent="0.2">
      <c r="E527" s="10"/>
      <c r="F527" s="53"/>
      <c r="G527" s="9"/>
      <c r="J527" s="17"/>
      <c r="K527" s="17"/>
    </row>
    <row r="528" spans="5:11" x14ac:dyDescent="0.2">
      <c r="E528" s="10"/>
      <c r="F528" s="53"/>
      <c r="G528" s="9"/>
      <c r="J528" s="17"/>
      <c r="K528" s="17"/>
    </row>
    <row r="529" spans="5:11" x14ac:dyDescent="0.2">
      <c r="E529" s="10"/>
      <c r="F529" s="53"/>
      <c r="G529" s="9"/>
      <c r="J529" s="17"/>
      <c r="K529" s="17"/>
    </row>
    <row r="530" spans="5:11" x14ac:dyDescent="0.2">
      <c r="E530" s="10"/>
      <c r="F530" s="53"/>
      <c r="G530" s="9"/>
      <c r="J530" s="17"/>
      <c r="K530" s="17"/>
    </row>
    <row r="531" spans="5:11" x14ac:dyDescent="0.2">
      <c r="E531" s="10"/>
      <c r="F531" s="53"/>
      <c r="G531" s="9"/>
      <c r="J531" s="17"/>
      <c r="K531" s="17"/>
    </row>
    <row r="532" spans="5:11" x14ac:dyDescent="0.2">
      <c r="E532" s="10"/>
      <c r="F532" s="53"/>
      <c r="G532" s="9"/>
      <c r="J532" s="17"/>
      <c r="K532" s="17"/>
    </row>
    <row r="533" spans="5:11" x14ac:dyDescent="0.2">
      <c r="E533" s="10"/>
      <c r="F533" s="53"/>
      <c r="G533" s="9"/>
      <c r="J533" s="17"/>
      <c r="K533" s="17"/>
    </row>
    <row r="534" spans="5:11" x14ac:dyDescent="0.2">
      <c r="E534" s="10"/>
      <c r="F534" s="53"/>
      <c r="G534" s="9"/>
      <c r="J534" s="17"/>
      <c r="K534" s="17"/>
    </row>
    <row r="535" spans="5:11" x14ac:dyDescent="0.2">
      <c r="E535" s="10"/>
      <c r="F535" s="53"/>
      <c r="G535" s="9"/>
      <c r="J535" s="17"/>
      <c r="K535" s="17"/>
    </row>
    <row r="536" spans="5:11" x14ac:dyDescent="0.2">
      <c r="E536" s="10"/>
      <c r="F536" s="53"/>
      <c r="G536" s="9"/>
      <c r="J536" s="17"/>
      <c r="K536" s="17"/>
    </row>
    <row r="537" spans="5:11" x14ac:dyDescent="0.2">
      <c r="E537" s="10"/>
      <c r="F537" s="53"/>
      <c r="G537" s="9"/>
      <c r="J537" s="17"/>
      <c r="K537" s="17"/>
    </row>
    <row r="538" spans="5:11" x14ac:dyDescent="0.2">
      <c r="E538" s="10"/>
      <c r="F538" s="53"/>
      <c r="G538" s="9"/>
      <c r="J538" s="17"/>
      <c r="K538" s="17"/>
    </row>
    <row r="539" spans="5:11" x14ac:dyDescent="0.2">
      <c r="E539" s="10"/>
      <c r="F539" s="53"/>
      <c r="G539" s="9"/>
      <c r="J539" s="17"/>
      <c r="K539" s="17"/>
    </row>
    <row r="540" spans="5:11" x14ac:dyDescent="0.2">
      <c r="E540" s="10"/>
      <c r="F540" s="53"/>
      <c r="G540" s="9"/>
      <c r="J540" s="17"/>
      <c r="K540" s="17"/>
    </row>
    <row r="541" spans="5:11" x14ac:dyDescent="0.2">
      <c r="E541" s="10"/>
      <c r="F541" s="53"/>
      <c r="G541" s="9"/>
      <c r="J541" s="17"/>
      <c r="K541" s="17"/>
    </row>
    <row r="542" spans="5:11" x14ac:dyDescent="0.2">
      <c r="E542" s="10"/>
      <c r="F542" s="53"/>
      <c r="G542" s="9"/>
      <c r="J542" s="17"/>
      <c r="K542" s="17"/>
    </row>
    <row r="543" spans="5:11" x14ac:dyDescent="0.2">
      <c r="E543" s="10"/>
      <c r="F543" s="53"/>
      <c r="G543" s="9"/>
      <c r="J543" s="17"/>
      <c r="K543" s="17"/>
    </row>
    <row r="544" spans="5:11" x14ac:dyDescent="0.2">
      <c r="E544" s="10"/>
      <c r="F544" s="53"/>
      <c r="G544" s="9"/>
      <c r="J544" s="17"/>
      <c r="K544" s="17"/>
    </row>
    <row r="545" spans="5:11" x14ac:dyDescent="0.2">
      <c r="E545" s="10"/>
      <c r="F545" s="53"/>
      <c r="G545" s="9"/>
      <c r="J545" s="17"/>
      <c r="K545" s="17"/>
    </row>
    <row r="546" spans="5:11" x14ac:dyDescent="0.2">
      <c r="E546" s="10"/>
      <c r="F546" s="53"/>
      <c r="G546" s="9"/>
      <c r="J546" s="17"/>
      <c r="K546" s="17"/>
    </row>
    <row r="547" spans="5:11" x14ac:dyDescent="0.2">
      <c r="E547" s="10"/>
      <c r="F547" s="53"/>
      <c r="G547" s="9"/>
      <c r="J547" s="17"/>
      <c r="K547" s="17"/>
    </row>
    <row r="548" spans="5:11" x14ac:dyDescent="0.2">
      <c r="E548" s="10"/>
      <c r="F548" s="53"/>
      <c r="G548" s="9"/>
      <c r="J548" s="17"/>
      <c r="K548" s="17"/>
    </row>
    <row r="549" spans="5:11" x14ac:dyDescent="0.2">
      <c r="E549" s="10"/>
      <c r="F549" s="53"/>
      <c r="G549" s="9"/>
      <c r="J549" s="17"/>
      <c r="K549" s="17"/>
    </row>
    <row r="550" spans="5:11" x14ac:dyDescent="0.2">
      <c r="E550" s="10"/>
      <c r="F550" s="53"/>
      <c r="G550" s="9"/>
      <c r="J550" s="17"/>
      <c r="K550" s="17"/>
    </row>
    <row r="551" spans="5:11" x14ac:dyDescent="0.2">
      <c r="E551" s="10"/>
      <c r="F551" s="53"/>
      <c r="G551" s="9"/>
      <c r="J551" s="17"/>
      <c r="K551" s="17"/>
    </row>
    <row r="552" spans="5:11" x14ac:dyDescent="0.2">
      <c r="E552" s="10"/>
      <c r="F552" s="53"/>
      <c r="G552" s="9"/>
      <c r="J552" s="17"/>
      <c r="K552" s="17"/>
    </row>
    <row r="553" spans="5:11" x14ac:dyDescent="0.2">
      <c r="E553" s="10"/>
      <c r="F553" s="53"/>
      <c r="G553" s="9"/>
      <c r="J553" s="17"/>
      <c r="K553" s="17"/>
    </row>
    <row r="554" spans="5:11" x14ac:dyDescent="0.2">
      <c r="E554" s="10"/>
      <c r="F554" s="53"/>
      <c r="G554" s="9"/>
      <c r="J554" s="17"/>
      <c r="K554" s="17"/>
    </row>
    <row r="555" spans="5:11" x14ac:dyDescent="0.2">
      <c r="E555" s="10"/>
      <c r="F555" s="53"/>
      <c r="G555" s="9"/>
      <c r="J555" s="17"/>
      <c r="K555" s="17"/>
    </row>
    <row r="556" spans="5:11" x14ac:dyDescent="0.2">
      <c r="E556" s="10"/>
      <c r="F556" s="53"/>
      <c r="G556" s="9"/>
      <c r="J556" s="17"/>
      <c r="K556" s="17"/>
    </row>
    <row r="557" spans="5:11" x14ac:dyDescent="0.2">
      <c r="E557" s="10"/>
      <c r="F557" s="53"/>
      <c r="G557" s="9"/>
      <c r="J557" s="17"/>
      <c r="K557" s="17"/>
    </row>
    <row r="558" spans="5:11" x14ac:dyDescent="0.2">
      <c r="E558" s="10"/>
      <c r="F558" s="53"/>
      <c r="G558" s="9"/>
      <c r="J558" s="17"/>
      <c r="K558" s="17"/>
    </row>
    <row r="559" spans="5:11" x14ac:dyDescent="0.2">
      <c r="E559" s="10"/>
      <c r="F559" s="53"/>
      <c r="G559" s="9"/>
      <c r="J559" s="17"/>
      <c r="K559" s="17"/>
    </row>
    <row r="560" spans="5:11" x14ac:dyDescent="0.2">
      <c r="E560" s="10"/>
      <c r="F560" s="53"/>
      <c r="G560" s="9"/>
      <c r="J560" s="17"/>
      <c r="K560" s="17"/>
    </row>
    <row r="561" spans="5:11" x14ac:dyDescent="0.2">
      <c r="E561" s="10"/>
      <c r="F561" s="53"/>
      <c r="G561" s="9"/>
      <c r="J561" s="17"/>
      <c r="K561" s="17"/>
    </row>
    <row r="562" spans="5:11" x14ac:dyDescent="0.2">
      <c r="E562" s="10"/>
      <c r="F562" s="53"/>
      <c r="G562" s="9"/>
      <c r="J562" s="17"/>
      <c r="K562" s="17"/>
    </row>
    <row r="563" spans="5:11" x14ac:dyDescent="0.2">
      <c r="E563" s="10"/>
      <c r="F563" s="53"/>
      <c r="G563" s="9"/>
      <c r="J563" s="17"/>
      <c r="K563" s="17"/>
    </row>
    <row r="564" spans="5:11" x14ac:dyDescent="0.2">
      <c r="E564" s="10"/>
      <c r="F564" s="53"/>
      <c r="G564" s="9"/>
      <c r="J564" s="17"/>
      <c r="K564" s="17"/>
    </row>
    <row r="565" spans="5:11" x14ac:dyDescent="0.2">
      <c r="E565" s="10"/>
      <c r="F565" s="53"/>
      <c r="G565" s="9"/>
      <c r="J565" s="17"/>
      <c r="K565" s="17"/>
    </row>
    <row r="566" spans="5:11" x14ac:dyDescent="0.2">
      <c r="E566" s="10"/>
      <c r="F566" s="53"/>
      <c r="G566" s="9"/>
      <c r="J566" s="17"/>
      <c r="K566" s="17"/>
    </row>
    <row r="567" spans="5:11" x14ac:dyDescent="0.2">
      <c r="E567" s="10"/>
      <c r="F567" s="53"/>
      <c r="G567" s="9"/>
      <c r="J567" s="17"/>
      <c r="K567" s="17"/>
    </row>
    <row r="568" spans="5:11" x14ac:dyDescent="0.2">
      <c r="E568" s="10"/>
      <c r="F568" s="53"/>
      <c r="G568" s="9"/>
      <c r="J568" s="17"/>
      <c r="K568" s="17"/>
    </row>
    <row r="569" spans="5:11" x14ac:dyDescent="0.2">
      <c r="E569" s="10"/>
      <c r="F569" s="53"/>
      <c r="G569" s="9"/>
      <c r="J569" s="17"/>
      <c r="K569" s="17"/>
    </row>
    <row r="570" spans="5:11" x14ac:dyDescent="0.2">
      <c r="E570" s="10"/>
      <c r="F570" s="53"/>
      <c r="G570" s="9"/>
      <c r="J570" s="17"/>
      <c r="K570" s="17"/>
    </row>
    <row r="571" spans="5:11" x14ac:dyDescent="0.2">
      <c r="E571" s="10"/>
      <c r="F571" s="53"/>
      <c r="G571" s="9"/>
      <c r="J571" s="17"/>
      <c r="K571" s="17"/>
    </row>
    <row r="572" spans="5:11" x14ac:dyDescent="0.2">
      <c r="E572" s="10"/>
      <c r="F572" s="53"/>
      <c r="G572" s="9"/>
      <c r="J572" s="17"/>
      <c r="K572" s="17"/>
    </row>
    <row r="573" spans="5:11" x14ac:dyDescent="0.2">
      <c r="E573" s="10"/>
      <c r="F573" s="53"/>
      <c r="G573" s="9"/>
      <c r="J573" s="17"/>
      <c r="K573" s="17"/>
    </row>
    <row r="574" spans="5:11" x14ac:dyDescent="0.2">
      <c r="E574" s="10"/>
      <c r="F574" s="53"/>
      <c r="G574" s="9"/>
      <c r="J574" s="17"/>
      <c r="K574" s="17"/>
    </row>
    <row r="575" spans="5:11" x14ac:dyDescent="0.2">
      <c r="E575" s="10"/>
      <c r="F575" s="53"/>
      <c r="G575" s="9"/>
      <c r="J575" s="17"/>
      <c r="K575" s="17"/>
    </row>
    <row r="576" spans="5:11" x14ac:dyDescent="0.2">
      <c r="E576" s="10"/>
      <c r="F576" s="53"/>
      <c r="G576" s="9"/>
      <c r="J576" s="17"/>
      <c r="K576" s="17"/>
    </row>
    <row r="577" spans="5:11" x14ac:dyDescent="0.2">
      <c r="E577" s="10"/>
      <c r="F577" s="53"/>
      <c r="G577" s="9"/>
      <c r="J577" s="17"/>
      <c r="K577" s="17"/>
    </row>
    <row r="578" spans="5:11" x14ac:dyDescent="0.2">
      <c r="E578" s="10"/>
      <c r="F578" s="53"/>
      <c r="G578" s="9"/>
      <c r="J578" s="17"/>
      <c r="K578" s="17"/>
    </row>
    <row r="579" spans="5:11" x14ac:dyDescent="0.2">
      <c r="E579" s="10"/>
      <c r="F579" s="53"/>
      <c r="G579" s="9"/>
      <c r="J579" s="17"/>
      <c r="K579" s="17"/>
    </row>
    <row r="580" spans="5:11" x14ac:dyDescent="0.2">
      <c r="E580" s="10"/>
      <c r="F580" s="53"/>
      <c r="G580" s="9"/>
      <c r="J580" s="17"/>
      <c r="K580" s="17"/>
    </row>
    <row r="581" spans="5:11" x14ac:dyDescent="0.2">
      <c r="E581" s="10"/>
      <c r="F581" s="53"/>
      <c r="G581" s="9"/>
      <c r="J581" s="17"/>
      <c r="K581" s="17"/>
    </row>
    <row r="582" spans="5:11" x14ac:dyDescent="0.2">
      <c r="E582" s="10"/>
      <c r="F582" s="53"/>
      <c r="G582" s="9"/>
      <c r="J582" s="17"/>
      <c r="K582" s="17"/>
    </row>
    <row r="583" spans="5:11" x14ac:dyDescent="0.2">
      <c r="E583" s="10"/>
      <c r="F583" s="53"/>
      <c r="G583" s="9"/>
      <c r="J583" s="17"/>
      <c r="K583" s="17"/>
    </row>
    <row r="584" spans="5:11" x14ac:dyDescent="0.2">
      <c r="E584" s="10"/>
      <c r="F584" s="53"/>
      <c r="G584" s="9"/>
      <c r="J584" s="17"/>
      <c r="K584" s="17"/>
    </row>
    <row r="585" spans="5:11" x14ac:dyDescent="0.2">
      <c r="E585" s="10"/>
      <c r="F585" s="53"/>
      <c r="G585" s="9"/>
      <c r="J585" s="17"/>
      <c r="K585" s="17"/>
    </row>
    <row r="586" spans="5:11" x14ac:dyDescent="0.2">
      <c r="E586" s="10"/>
      <c r="F586" s="53"/>
      <c r="G586" s="9"/>
      <c r="J586" s="17"/>
      <c r="K586" s="17"/>
    </row>
    <row r="587" spans="5:11" x14ac:dyDescent="0.2">
      <c r="E587" s="10"/>
      <c r="F587" s="53"/>
      <c r="G587" s="9"/>
      <c r="J587" s="17"/>
      <c r="K587" s="17"/>
    </row>
    <row r="588" spans="5:11" x14ac:dyDescent="0.2">
      <c r="E588" s="10"/>
      <c r="F588" s="53"/>
      <c r="G588" s="9"/>
      <c r="J588" s="17"/>
      <c r="K588" s="17"/>
    </row>
    <row r="589" spans="5:11" x14ac:dyDescent="0.2">
      <c r="E589" s="10"/>
      <c r="F589" s="53"/>
      <c r="G589" s="9"/>
      <c r="J589" s="17"/>
      <c r="K589" s="17"/>
    </row>
    <row r="590" spans="5:11" x14ac:dyDescent="0.2">
      <c r="E590" s="10"/>
      <c r="F590" s="53"/>
      <c r="G590" s="9"/>
      <c r="J590" s="17"/>
      <c r="K590" s="17"/>
    </row>
    <row r="591" spans="5:11" x14ac:dyDescent="0.2">
      <c r="E591" s="10"/>
      <c r="F591" s="53"/>
      <c r="G591" s="9"/>
      <c r="J591" s="17"/>
      <c r="K591" s="17"/>
    </row>
    <row r="592" spans="5:11" x14ac:dyDescent="0.2">
      <c r="E592" s="10"/>
      <c r="F592" s="53"/>
      <c r="G592" s="9"/>
      <c r="J592" s="17"/>
      <c r="K592" s="17"/>
    </row>
    <row r="593" spans="5:11" x14ac:dyDescent="0.2">
      <c r="E593" s="10"/>
      <c r="F593" s="53"/>
      <c r="G593" s="9"/>
      <c r="J593" s="17"/>
      <c r="K593" s="17"/>
    </row>
    <row r="594" spans="5:11" x14ac:dyDescent="0.2">
      <c r="E594" s="10"/>
      <c r="F594" s="53"/>
      <c r="G594" s="9"/>
      <c r="J594" s="17"/>
      <c r="K594" s="17"/>
    </row>
    <row r="595" spans="5:11" x14ac:dyDescent="0.2">
      <c r="E595" s="10"/>
      <c r="F595" s="53"/>
      <c r="G595" s="9"/>
      <c r="J595" s="17"/>
      <c r="K595" s="17"/>
    </row>
    <row r="596" spans="5:11" x14ac:dyDescent="0.2">
      <c r="E596" s="10"/>
      <c r="F596" s="53"/>
      <c r="G596" s="9"/>
      <c r="J596" s="17"/>
      <c r="K596" s="17"/>
    </row>
    <row r="597" spans="5:11" x14ac:dyDescent="0.2">
      <c r="E597" s="10"/>
      <c r="F597" s="53"/>
      <c r="G597" s="9"/>
      <c r="J597" s="17"/>
      <c r="K597" s="17"/>
    </row>
    <row r="598" spans="5:11" x14ac:dyDescent="0.2">
      <c r="E598" s="10"/>
      <c r="F598" s="53"/>
      <c r="G598" s="9"/>
      <c r="J598" s="17"/>
      <c r="K598" s="17"/>
    </row>
    <row r="599" spans="5:11" x14ac:dyDescent="0.2">
      <c r="E599" s="10"/>
      <c r="F599" s="53"/>
      <c r="G599" s="9"/>
      <c r="J599" s="17"/>
      <c r="K599" s="17"/>
    </row>
    <row r="600" spans="5:11" x14ac:dyDescent="0.2">
      <c r="E600" s="10"/>
      <c r="F600" s="53"/>
      <c r="G600" s="9"/>
      <c r="J600" s="17"/>
      <c r="K600" s="17"/>
    </row>
    <row r="601" spans="5:11" x14ac:dyDescent="0.2">
      <c r="E601" s="10"/>
      <c r="F601" s="53"/>
      <c r="G601" s="9"/>
      <c r="J601" s="17"/>
      <c r="K601" s="17"/>
    </row>
    <row r="602" spans="5:11" x14ac:dyDescent="0.2">
      <c r="E602" s="10"/>
      <c r="F602" s="53"/>
      <c r="G602" s="9"/>
      <c r="J602" s="17"/>
      <c r="K602" s="17"/>
    </row>
    <row r="603" spans="5:11" x14ac:dyDescent="0.2">
      <c r="E603" s="10"/>
      <c r="F603" s="53"/>
      <c r="G603" s="9"/>
      <c r="J603" s="17"/>
      <c r="K603" s="17"/>
    </row>
    <row r="604" spans="5:11" x14ac:dyDescent="0.2">
      <c r="E604" s="10"/>
      <c r="F604" s="53"/>
      <c r="G604" s="9"/>
      <c r="J604" s="17"/>
      <c r="K604" s="17"/>
    </row>
    <row r="605" spans="5:11" x14ac:dyDescent="0.2">
      <c r="E605" s="10"/>
      <c r="F605" s="53"/>
      <c r="G605" s="9"/>
      <c r="J605" s="17"/>
      <c r="K605" s="17"/>
    </row>
    <row r="606" spans="5:11" x14ac:dyDescent="0.2">
      <c r="E606" s="10"/>
      <c r="F606" s="53"/>
      <c r="G606" s="9"/>
      <c r="J606" s="17"/>
      <c r="K606" s="17"/>
    </row>
    <row r="607" spans="5:11" x14ac:dyDescent="0.2">
      <c r="E607" s="10"/>
      <c r="F607" s="53"/>
      <c r="G607" s="9"/>
      <c r="J607" s="17"/>
      <c r="K607" s="17"/>
    </row>
    <row r="608" spans="5:11" x14ac:dyDescent="0.2">
      <c r="E608" s="10"/>
      <c r="F608" s="53"/>
      <c r="G608" s="9"/>
      <c r="J608" s="17"/>
      <c r="K608" s="17"/>
    </row>
    <row r="609" spans="5:11" x14ac:dyDescent="0.2">
      <c r="E609" s="10"/>
      <c r="F609" s="53"/>
      <c r="G609" s="9"/>
      <c r="J609" s="17"/>
      <c r="K609" s="17"/>
    </row>
    <row r="610" spans="5:11" x14ac:dyDescent="0.2">
      <c r="E610" s="10"/>
      <c r="F610" s="53"/>
      <c r="G610" s="9"/>
      <c r="J610" s="17"/>
      <c r="K610" s="17"/>
    </row>
    <row r="611" spans="5:11" x14ac:dyDescent="0.2">
      <c r="E611" s="10"/>
      <c r="F611" s="53"/>
      <c r="G611" s="9"/>
      <c r="J611" s="17"/>
      <c r="K611" s="17"/>
    </row>
    <row r="612" spans="5:11" x14ac:dyDescent="0.2">
      <c r="E612" s="10"/>
      <c r="F612" s="53"/>
      <c r="G612" s="9"/>
      <c r="J612" s="17"/>
      <c r="K612" s="17"/>
    </row>
    <row r="613" spans="5:11" x14ac:dyDescent="0.2">
      <c r="E613" s="10"/>
      <c r="F613" s="53"/>
      <c r="G613" s="9"/>
      <c r="J613" s="17"/>
      <c r="K613" s="17"/>
    </row>
    <row r="614" spans="5:11" x14ac:dyDescent="0.2">
      <c r="E614" s="10"/>
      <c r="F614" s="53"/>
      <c r="G614" s="9"/>
      <c r="J614" s="17"/>
      <c r="K614" s="17"/>
    </row>
    <row r="615" spans="5:11" x14ac:dyDescent="0.2">
      <c r="E615" s="10"/>
      <c r="F615" s="53"/>
      <c r="G615" s="9"/>
      <c r="J615" s="17"/>
      <c r="K615" s="17"/>
    </row>
    <row r="616" spans="5:11" x14ac:dyDescent="0.2">
      <c r="E616" s="10"/>
      <c r="F616" s="53"/>
      <c r="G616" s="9"/>
      <c r="J616" s="17"/>
      <c r="K616" s="17"/>
    </row>
    <row r="617" spans="5:11" x14ac:dyDescent="0.2">
      <c r="E617" s="10"/>
      <c r="F617" s="53"/>
      <c r="G617" s="9"/>
      <c r="J617" s="17"/>
      <c r="K617" s="17"/>
    </row>
    <row r="618" spans="5:11" x14ac:dyDescent="0.2">
      <c r="E618" s="10"/>
      <c r="F618" s="53"/>
      <c r="G618" s="9"/>
      <c r="J618" s="17"/>
      <c r="K618" s="17"/>
    </row>
    <row r="619" spans="5:11" x14ac:dyDescent="0.2">
      <c r="E619" s="10"/>
      <c r="F619" s="53"/>
      <c r="G619" s="9"/>
      <c r="J619" s="17"/>
      <c r="K619" s="17"/>
    </row>
    <row r="620" spans="5:11" x14ac:dyDescent="0.2">
      <c r="E620" s="10"/>
      <c r="F620" s="53"/>
      <c r="G620" s="9"/>
      <c r="J620" s="17"/>
      <c r="K620" s="17"/>
    </row>
    <row r="621" spans="5:11" x14ac:dyDescent="0.2">
      <c r="E621" s="10"/>
      <c r="F621" s="53"/>
      <c r="G621" s="9"/>
      <c r="J621" s="17"/>
      <c r="K621" s="17"/>
    </row>
    <row r="622" spans="5:11" x14ac:dyDescent="0.2">
      <c r="E622" s="10"/>
      <c r="F622" s="53"/>
      <c r="G622" s="9"/>
      <c r="J622" s="17"/>
      <c r="K622" s="17"/>
    </row>
    <row r="623" spans="5:11" x14ac:dyDescent="0.2">
      <c r="E623" s="10"/>
      <c r="F623" s="53"/>
      <c r="G623" s="9"/>
      <c r="J623" s="17"/>
      <c r="K623" s="17"/>
    </row>
    <row r="624" spans="5:11" x14ac:dyDescent="0.2">
      <c r="E624" s="10"/>
      <c r="F624" s="53"/>
      <c r="G624" s="9"/>
      <c r="J624" s="17"/>
      <c r="K624" s="17"/>
    </row>
    <row r="625" spans="5:11" x14ac:dyDescent="0.2">
      <c r="E625" s="10"/>
      <c r="F625" s="53"/>
      <c r="G625" s="9"/>
      <c r="J625" s="17"/>
      <c r="K625" s="17"/>
    </row>
    <row r="626" spans="5:11" x14ac:dyDescent="0.2">
      <c r="E626" s="10"/>
      <c r="F626" s="53"/>
      <c r="G626" s="9"/>
      <c r="J626" s="17"/>
      <c r="K626" s="17"/>
    </row>
    <row r="627" spans="5:11" x14ac:dyDescent="0.2">
      <c r="E627" s="10"/>
      <c r="F627" s="53"/>
      <c r="G627" s="9"/>
      <c r="J627" s="17"/>
      <c r="K627" s="17"/>
    </row>
    <row r="628" spans="5:11" x14ac:dyDescent="0.2">
      <c r="E628" s="10"/>
      <c r="F628" s="53"/>
      <c r="G628" s="9"/>
      <c r="J628" s="17"/>
      <c r="K628" s="17"/>
    </row>
    <row r="629" spans="5:11" x14ac:dyDescent="0.2">
      <c r="E629" s="10"/>
      <c r="F629" s="53"/>
      <c r="G629" s="9"/>
      <c r="J629" s="17"/>
      <c r="K629" s="17"/>
    </row>
    <row r="630" spans="5:11" x14ac:dyDescent="0.2">
      <c r="E630" s="10"/>
      <c r="F630" s="53"/>
      <c r="G630" s="9"/>
      <c r="J630" s="17"/>
      <c r="K630" s="17"/>
    </row>
    <row r="631" spans="5:11" x14ac:dyDescent="0.2">
      <c r="E631" s="10"/>
      <c r="F631" s="53"/>
      <c r="G631" s="9"/>
      <c r="J631" s="17"/>
      <c r="K631" s="17"/>
    </row>
    <row r="632" spans="5:11" x14ac:dyDescent="0.2">
      <c r="E632" s="10"/>
      <c r="F632" s="53"/>
      <c r="G632" s="9"/>
      <c r="J632" s="17"/>
      <c r="K632" s="17"/>
    </row>
    <row r="633" spans="5:11" x14ac:dyDescent="0.2">
      <c r="E633" s="10"/>
      <c r="F633" s="53"/>
      <c r="G633" s="9"/>
      <c r="J633" s="17"/>
      <c r="K633" s="17"/>
    </row>
    <row r="634" spans="5:11" x14ac:dyDescent="0.2">
      <c r="E634" s="10"/>
      <c r="F634" s="53"/>
      <c r="G634" s="9"/>
      <c r="J634" s="17"/>
      <c r="K634" s="17"/>
    </row>
    <row r="635" spans="5:11" x14ac:dyDescent="0.2">
      <c r="E635" s="10"/>
      <c r="F635" s="53"/>
      <c r="G635" s="9"/>
      <c r="J635" s="17"/>
      <c r="K635" s="17"/>
    </row>
    <row r="636" spans="5:11" x14ac:dyDescent="0.2">
      <c r="E636" s="10"/>
      <c r="F636" s="53"/>
      <c r="G636" s="9"/>
      <c r="J636" s="17"/>
      <c r="K636" s="17"/>
    </row>
    <row r="637" spans="5:11" x14ac:dyDescent="0.2">
      <c r="E637" s="10"/>
      <c r="F637" s="53"/>
      <c r="G637" s="9"/>
      <c r="J637" s="17"/>
      <c r="K637" s="17"/>
    </row>
    <row r="638" spans="5:11" x14ac:dyDescent="0.2">
      <c r="E638" s="10"/>
      <c r="F638" s="53"/>
      <c r="G638" s="9"/>
      <c r="J638" s="17"/>
      <c r="K638" s="17"/>
    </row>
    <row r="639" spans="5:11" x14ac:dyDescent="0.2">
      <c r="E639" s="10"/>
      <c r="F639" s="53"/>
      <c r="G639" s="9"/>
      <c r="J639" s="17"/>
      <c r="K639" s="17"/>
    </row>
    <row r="640" spans="5:11" x14ac:dyDescent="0.2">
      <c r="E640" s="10"/>
      <c r="F640" s="53"/>
      <c r="G640" s="9"/>
      <c r="J640" s="17"/>
      <c r="K640" s="17"/>
    </row>
    <row r="641" spans="5:11" x14ac:dyDescent="0.2">
      <c r="E641" s="10"/>
      <c r="F641" s="53"/>
      <c r="G641" s="9"/>
      <c r="J641" s="17"/>
      <c r="K641" s="17"/>
    </row>
    <row r="642" spans="5:11" x14ac:dyDescent="0.2">
      <c r="E642" s="10"/>
      <c r="F642" s="53"/>
      <c r="G642" s="9"/>
      <c r="J642" s="17"/>
      <c r="K642" s="17"/>
    </row>
    <row r="643" spans="5:11" x14ac:dyDescent="0.2">
      <c r="E643" s="10"/>
      <c r="F643" s="53"/>
      <c r="G643" s="9"/>
      <c r="J643" s="17"/>
      <c r="K643" s="17"/>
    </row>
    <row r="644" spans="5:11" x14ac:dyDescent="0.2">
      <c r="E644" s="10"/>
      <c r="F644" s="53"/>
      <c r="G644" s="9"/>
      <c r="J644" s="17"/>
      <c r="K644" s="17"/>
    </row>
    <row r="645" spans="5:11" x14ac:dyDescent="0.2">
      <c r="E645" s="10"/>
      <c r="F645" s="53"/>
      <c r="G645" s="9"/>
      <c r="J645" s="17"/>
      <c r="K645" s="17"/>
    </row>
    <row r="646" spans="5:11" x14ac:dyDescent="0.2">
      <c r="E646" s="10"/>
      <c r="F646" s="53"/>
      <c r="G646" s="9"/>
      <c r="J646" s="17"/>
      <c r="K646" s="17"/>
    </row>
    <row r="647" spans="5:11" x14ac:dyDescent="0.2">
      <c r="E647" s="10"/>
      <c r="F647" s="53"/>
      <c r="G647" s="9"/>
      <c r="J647" s="17"/>
      <c r="K647" s="17"/>
    </row>
    <row r="648" spans="5:11" x14ac:dyDescent="0.2">
      <c r="E648" s="10"/>
      <c r="F648" s="53"/>
      <c r="G648" s="9"/>
      <c r="J648" s="17"/>
      <c r="K648" s="17"/>
    </row>
    <row r="649" spans="5:11" x14ac:dyDescent="0.2">
      <c r="E649" s="10"/>
      <c r="F649" s="53"/>
      <c r="G649" s="9"/>
      <c r="J649" s="17"/>
      <c r="K649" s="17"/>
    </row>
    <row r="650" spans="5:11" x14ac:dyDescent="0.2">
      <c r="E650" s="10"/>
      <c r="F650" s="53"/>
      <c r="G650" s="9"/>
      <c r="J650" s="17"/>
      <c r="K650" s="17"/>
    </row>
    <row r="651" spans="5:11" x14ac:dyDescent="0.2">
      <c r="E651" s="10"/>
      <c r="F651" s="53"/>
      <c r="G651" s="9"/>
      <c r="J651" s="17"/>
      <c r="K651" s="17"/>
    </row>
    <row r="652" spans="5:11" x14ac:dyDescent="0.2">
      <c r="E652" s="10"/>
      <c r="F652" s="53"/>
      <c r="G652" s="9"/>
      <c r="J652" s="17"/>
      <c r="K652" s="17"/>
    </row>
    <row r="653" spans="5:11" x14ac:dyDescent="0.2">
      <c r="E653" s="10"/>
      <c r="F653" s="53"/>
      <c r="G653" s="9"/>
      <c r="J653" s="17"/>
      <c r="K653" s="17"/>
    </row>
    <row r="654" spans="5:11" x14ac:dyDescent="0.2">
      <c r="E654" s="10"/>
      <c r="F654" s="53"/>
      <c r="G654" s="9"/>
      <c r="J654" s="17"/>
      <c r="K654" s="17"/>
    </row>
    <row r="655" spans="5:11" x14ac:dyDescent="0.2">
      <c r="E655" s="10"/>
      <c r="F655" s="53"/>
      <c r="G655" s="9"/>
      <c r="J655" s="17"/>
      <c r="K655" s="17"/>
    </row>
    <row r="656" spans="5:11" x14ac:dyDescent="0.2">
      <c r="E656" s="10"/>
      <c r="F656" s="53"/>
      <c r="G656" s="9"/>
      <c r="J656" s="17"/>
      <c r="K656" s="17"/>
    </row>
    <row r="657" spans="5:11" x14ac:dyDescent="0.2">
      <c r="E657" s="10"/>
      <c r="F657" s="53"/>
      <c r="G657" s="9"/>
      <c r="J657" s="17"/>
      <c r="K657" s="17"/>
    </row>
    <row r="658" spans="5:11" x14ac:dyDescent="0.2">
      <c r="E658" s="10"/>
      <c r="F658" s="53"/>
      <c r="G658" s="9"/>
      <c r="J658" s="17"/>
      <c r="K658" s="17"/>
    </row>
    <row r="659" spans="5:11" x14ac:dyDescent="0.2">
      <c r="E659" s="10"/>
      <c r="F659" s="53"/>
      <c r="G659" s="9"/>
      <c r="J659" s="17"/>
      <c r="K659" s="17"/>
    </row>
    <row r="660" spans="5:11" x14ac:dyDescent="0.2">
      <c r="E660" s="10"/>
      <c r="F660" s="53"/>
      <c r="G660" s="9"/>
      <c r="J660" s="17"/>
      <c r="K660" s="17"/>
    </row>
    <row r="661" spans="5:11" x14ac:dyDescent="0.2">
      <c r="E661" s="10"/>
      <c r="F661" s="53"/>
      <c r="G661" s="9"/>
      <c r="J661" s="17"/>
      <c r="K661" s="17"/>
    </row>
    <row r="662" spans="5:11" x14ac:dyDescent="0.2">
      <c r="E662" s="10"/>
      <c r="F662" s="53"/>
      <c r="G662" s="9"/>
      <c r="J662" s="17"/>
      <c r="K662" s="17"/>
    </row>
    <row r="663" spans="5:11" x14ac:dyDescent="0.2">
      <c r="E663" s="10"/>
      <c r="F663" s="53"/>
      <c r="G663" s="9"/>
      <c r="J663" s="17"/>
      <c r="K663" s="17"/>
    </row>
    <row r="664" spans="5:11" x14ac:dyDescent="0.2">
      <c r="E664" s="10"/>
      <c r="F664" s="53"/>
      <c r="G664" s="9"/>
      <c r="J664" s="17"/>
      <c r="K664" s="17"/>
    </row>
    <row r="665" spans="5:11" x14ac:dyDescent="0.2">
      <c r="E665" s="10"/>
      <c r="F665" s="53"/>
      <c r="G665" s="9"/>
      <c r="J665" s="17"/>
      <c r="K665" s="17"/>
    </row>
    <row r="666" spans="5:11" x14ac:dyDescent="0.2">
      <c r="E666" s="10"/>
      <c r="F666" s="53"/>
      <c r="G666" s="9"/>
      <c r="J666" s="17"/>
      <c r="K666" s="17"/>
    </row>
    <row r="667" spans="5:11" x14ac:dyDescent="0.2">
      <c r="E667" s="10"/>
      <c r="F667" s="53"/>
      <c r="G667" s="9"/>
      <c r="J667" s="17"/>
      <c r="K667" s="17"/>
    </row>
    <row r="668" spans="5:11" x14ac:dyDescent="0.2">
      <c r="E668" s="10"/>
      <c r="F668" s="53"/>
      <c r="G668" s="9"/>
      <c r="J668" s="17"/>
      <c r="K668" s="17"/>
    </row>
    <row r="669" spans="5:11" x14ac:dyDescent="0.2">
      <c r="E669" s="10"/>
      <c r="F669" s="53"/>
      <c r="G669" s="9"/>
      <c r="J669" s="17"/>
      <c r="K669" s="17"/>
    </row>
    <row r="670" spans="5:11" x14ac:dyDescent="0.2">
      <c r="E670" s="10"/>
      <c r="F670" s="53"/>
      <c r="G670" s="9"/>
      <c r="J670" s="17"/>
      <c r="K670" s="17"/>
    </row>
    <row r="671" spans="5:11" x14ac:dyDescent="0.2">
      <c r="E671" s="10"/>
      <c r="F671" s="53"/>
      <c r="G671" s="9"/>
      <c r="J671" s="17"/>
      <c r="K671" s="17"/>
    </row>
    <row r="672" spans="5:11" x14ac:dyDescent="0.2">
      <c r="E672" s="10"/>
      <c r="F672" s="53"/>
      <c r="G672" s="9"/>
      <c r="J672" s="17"/>
      <c r="K672" s="17"/>
    </row>
    <row r="673" spans="5:11" x14ac:dyDescent="0.2">
      <c r="E673" s="10"/>
      <c r="F673" s="53"/>
      <c r="G673" s="9"/>
      <c r="J673" s="17"/>
      <c r="K673" s="17"/>
    </row>
    <row r="674" spans="5:11" x14ac:dyDescent="0.2">
      <c r="E674" s="10"/>
      <c r="F674" s="53"/>
      <c r="G674" s="9"/>
      <c r="J674" s="17"/>
      <c r="K674" s="17"/>
    </row>
    <row r="675" spans="5:11" x14ac:dyDescent="0.2">
      <c r="E675" s="10"/>
      <c r="F675" s="53"/>
      <c r="G675" s="9"/>
      <c r="J675" s="17"/>
      <c r="K675" s="17"/>
    </row>
    <row r="676" spans="5:11" x14ac:dyDescent="0.2">
      <c r="E676" s="10"/>
      <c r="F676" s="53"/>
      <c r="G676" s="9"/>
      <c r="J676" s="17"/>
      <c r="K676" s="17"/>
    </row>
    <row r="677" spans="5:11" x14ac:dyDescent="0.2">
      <c r="J677" s="17"/>
      <c r="K677" s="17"/>
    </row>
    <row r="678" spans="5:11" ht="12.75" x14ac:dyDescent="0.2">
      <c r="E678" s="54"/>
      <c r="F678" s="55"/>
      <c r="G678" s="56">
        <f>SUM(G9:G677)</f>
        <v>0</v>
      </c>
    </row>
  </sheetData>
  <mergeCells count="5">
    <mergeCell ref="I3:K3"/>
    <mergeCell ref="M3:M4"/>
    <mergeCell ref="B3:B4"/>
    <mergeCell ref="C3:C4"/>
    <mergeCell ref="E3:G3"/>
  </mergeCells>
  <dataValidations count="2">
    <dataValidation type="list" allowBlank="1" showInputMessage="1" showErrorMessage="1" sqref="B9:C676" xr:uid="{98EEADA2-9100-465D-8CBB-A4F8EEFAA2DF}">
      <formula1>Compadjust</formula1>
    </dataValidation>
    <dataValidation type="list" allowBlank="1" showInputMessage="1" showErrorMessage="1" sqref="M20:M22 L27:L675 M58:M675 L9:L23 L24:M25" xr:uid="{0B8FA41C-7C66-4E07-8829-1B7B853386D4}">
      <formula1>Taxes</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5A37D-8494-40E6-AC08-32042E22EBEB}">
  <dimension ref="A1:M678"/>
  <sheetViews>
    <sheetView showGridLines="0" zoomScale="85" zoomScaleNormal="85" workbookViewId="0">
      <selection activeCell="G10" sqref="G10"/>
    </sheetView>
  </sheetViews>
  <sheetFormatPr defaultColWidth="11.56640625" defaultRowHeight="10.5" x14ac:dyDescent="0.2"/>
  <cols>
    <col min="1" max="1" width="3.62890625" style="17" bestFit="1" customWidth="1"/>
    <col min="2" max="2" width="25.2890625" style="13" bestFit="1" customWidth="1"/>
    <col min="3" max="3" width="13.5859375" style="13" customWidth="1"/>
    <col min="4" max="4" width="0.94140625" style="13" customWidth="1"/>
    <col min="5" max="5" width="22.59765625" style="13" bestFit="1" customWidth="1"/>
    <col min="6" max="6" width="12.64453125" style="10" customWidth="1"/>
    <col min="7" max="7" width="17.3515625" style="13" bestFit="1" customWidth="1"/>
    <col min="8" max="8" width="0.94140625" style="13" customWidth="1"/>
    <col min="9" max="9" width="15.6015625" style="13" bestFit="1" customWidth="1"/>
    <col min="10" max="10" width="14.125" style="13" customWidth="1"/>
    <col min="11" max="11" width="15.6015625" style="13" bestFit="1" customWidth="1"/>
    <col min="12" max="12" width="0.94140625" style="13" customWidth="1"/>
    <col min="13" max="13" width="15.87109375" style="13" bestFit="1" customWidth="1"/>
    <col min="14" max="16384" width="11.56640625" style="13"/>
  </cols>
  <sheetData>
    <row r="1" spans="2:13" ht="19.5" x14ac:dyDescent="0.1">
      <c r="B1" s="12" t="s">
        <v>3380</v>
      </c>
      <c r="C1" s="12"/>
      <c r="E1" s="14" t="s">
        <v>61</v>
      </c>
      <c r="F1" s="12" t="s">
        <v>3381</v>
      </c>
      <c r="G1" s="15">
        <v>972673420</v>
      </c>
      <c r="J1" s="12" t="s">
        <v>3382</v>
      </c>
      <c r="K1" s="16">
        <v>2021</v>
      </c>
    </row>
    <row r="2" spans="2:13" x14ac:dyDescent="0.2">
      <c r="B2" s="15"/>
      <c r="C2" s="15"/>
      <c r="F2" s="13"/>
      <c r="J2" s="21"/>
      <c r="M2" s="22"/>
    </row>
    <row r="3" spans="2:13" ht="13.5" customHeight="1" x14ac:dyDescent="0.2">
      <c r="B3" s="427" t="s">
        <v>3383</v>
      </c>
      <c r="C3" s="427" t="s">
        <v>3384</v>
      </c>
      <c r="E3" s="425" t="s">
        <v>3385</v>
      </c>
      <c r="F3" s="426"/>
      <c r="G3" s="427"/>
      <c r="I3" s="425" t="s">
        <v>3386</v>
      </c>
      <c r="J3" s="426"/>
      <c r="K3" s="427"/>
      <c r="M3" s="426" t="s">
        <v>3387</v>
      </c>
    </row>
    <row r="4" spans="2:13" ht="11.25" thickBot="1" x14ac:dyDescent="0.25">
      <c r="B4" s="430"/>
      <c r="C4" s="430"/>
      <c r="E4" s="18" t="s">
        <v>3388</v>
      </c>
      <c r="F4" s="19" t="s">
        <v>3389</v>
      </c>
      <c r="G4" s="27" t="s">
        <v>3390</v>
      </c>
      <c r="I4" s="18" t="s">
        <v>3388</v>
      </c>
      <c r="J4" s="19" t="s">
        <v>3389</v>
      </c>
      <c r="K4" s="27" t="s">
        <v>3390</v>
      </c>
      <c r="M4" s="428"/>
    </row>
    <row r="5" spans="2:13" ht="13.5" customHeight="1" x14ac:dyDescent="0.2">
      <c r="B5" s="193" t="s">
        <v>3391</v>
      </c>
      <c r="C5" s="24"/>
      <c r="E5" s="25">
        <f>SUM(E6:E6)</f>
        <v>5401723833</v>
      </c>
      <c r="F5" s="25">
        <f>SUM(F6:F6)</f>
        <v>0</v>
      </c>
      <c r="G5" s="25">
        <f>SUM(G6:G6)</f>
        <v>5401723833</v>
      </c>
      <c r="I5" s="25">
        <f>SUM(I6:I6)</f>
        <v>5478572366</v>
      </c>
      <c r="J5" s="25">
        <f>SUM(J6:J6)</f>
        <v>0</v>
      </c>
      <c r="K5" s="25">
        <f>SUM(K6:K6)</f>
        <v>5478572366</v>
      </c>
      <c r="M5" s="25">
        <f>SUM(M6:M6)</f>
        <v>-76848533</v>
      </c>
    </row>
    <row r="6" spans="2:13" x14ac:dyDescent="0.2">
      <c r="B6" s="17" t="s">
        <v>3404</v>
      </c>
      <c r="C6" s="17" t="s">
        <v>3405</v>
      </c>
      <c r="E6" s="9">
        <v>5401723833</v>
      </c>
      <c r="F6" s="9">
        <v>0</v>
      </c>
      <c r="G6" s="9">
        <f>E6+F6</f>
        <v>5401723833</v>
      </c>
      <c r="I6" s="9">
        <v>5478572366</v>
      </c>
      <c r="J6" s="9">
        <v>0</v>
      </c>
      <c r="K6" s="9">
        <v>5478572366</v>
      </c>
      <c r="M6" s="9">
        <f t="shared" ref="M6" si="0">G6-K6</f>
        <v>-76848533</v>
      </c>
    </row>
    <row r="7" spans="2:13" x14ac:dyDescent="0.2">
      <c r="B7" s="33" t="s">
        <v>3399</v>
      </c>
      <c r="C7" s="33"/>
      <c r="E7" s="186">
        <f>E5</f>
        <v>5401723833</v>
      </c>
      <c r="F7" s="186">
        <f t="shared" ref="F7:G7" si="1">F5</f>
        <v>0</v>
      </c>
      <c r="G7" s="186">
        <f t="shared" si="1"/>
        <v>5401723833</v>
      </c>
      <c r="H7" s="62"/>
      <c r="I7" s="186">
        <f t="shared" ref="I7:K7" si="2">I5</f>
        <v>5478572366</v>
      </c>
      <c r="J7" s="186">
        <f t="shared" si="2"/>
        <v>0</v>
      </c>
      <c r="K7" s="186">
        <f t="shared" si="2"/>
        <v>5478572366</v>
      </c>
      <c r="L7" s="187"/>
      <c r="M7" s="186">
        <f>M5</f>
        <v>-76848533</v>
      </c>
    </row>
    <row r="8" spans="2:13" x14ac:dyDescent="0.2">
      <c r="B8" s="15"/>
      <c r="C8" s="15"/>
      <c r="F8" s="32"/>
      <c r="G8" s="32"/>
      <c r="I8" s="32"/>
      <c r="J8" s="32"/>
      <c r="K8" s="32"/>
      <c r="M8" s="32"/>
    </row>
    <row r="9" spans="2:13" x14ac:dyDescent="0.1">
      <c r="E9" s="30"/>
      <c r="F9" s="37"/>
      <c r="G9" s="38"/>
      <c r="I9" s="39"/>
      <c r="J9" s="17"/>
      <c r="K9" s="17"/>
    </row>
    <row r="10" spans="2:13" x14ac:dyDescent="0.1">
      <c r="E10" s="30"/>
      <c r="F10" s="37"/>
      <c r="G10" s="38"/>
      <c r="I10" s="39"/>
      <c r="J10" s="17"/>
      <c r="K10" s="17"/>
    </row>
    <row r="11" spans="2:13" x14ac:dyDescent="0.1">
      <c r="E11" s="30"/>
      <c r="F11" s="42"/>
      <c r="G11" s="38"/>
      <c r="I11" s="39"/>
      <c r="J11" s="17"/>
      <c r="K11" s="17"/>
    </row>
    <row r="12" spans="2:13" x14ac:dyDescent="0.1">
      <c r="E12" s="30"/>
      <c r="F12" s="42"/>
      <c r="G12" s="38"/>
      <c r="I12" s="39"/>
      <c r="J12" s="17"/>
      <c r="K12" s="17"/>
    </row>
    <row r="13" spans="2:13" x14ac:dyDescent="0.1">
      <c r="E13" s="30"/>
      <c r="F13" s="42"/>
      <c r="G13" s="38"/>
      <c r="I13" s="39"/>
      <c r="J13" s="17"/>
      <c r="K13" s="17"/>
    </row>
    <row r="14" spans="2:13" x14ac:dyDescent="0.1">
      <c r="E14" s="30"/>
      <c r="F14" s="42"/>
      <c r="G14" s="38"/>
      <c r="I14" s="39"/>
      <c r="J14" s="17"/>
      <c r="K14" s="17"/>
    </row>
    <row r="15" spans="2:13" x14ac:dyDescent="0.1">
      <c r="E15" s="30"/>
      <c r="F15" s="42"/>
      <c r="G15" s="38"/>
      <c r="I15" s="39"/>
      <c r="J15" s="17"/>
      <c r="K15" s="17"/>
    </row>
    <row r="16" spans="2:13" x14ac:dyDescent="0.1">
      <c r="E16" s="30"/>
      <c r="F16" s="42"/>
      <c r="G16" s="38"/>
      <c r="I16" s="39"/>
      <c r="J16" s="17"/>
      <c r="K16" s="17"/>
    </row>
    <row r="17" spans="5:13" x14ac:dyDescent="0.1">
      <c r="E17" s="30"/>
      <c r="F17" s="42"/>
      <c r="G17" s="38"/>
      <c r="I17" s="39"/>
      <c r="J17" s="17"/>
      <c r="K17" s="17"/>
    </row>
    <row r="18" spans="5:13" x14ac:dyDescent="0.1">
      <c r="E18" s="30"/>
      <c r="F18" s="42"/>
      <c r="G18" s="38"/>
      <c r="I18" s="39"/>
      <c r="J18" s="17"/>
      <c r="K18" s="17"/>
    </row>
    <row r="19" spans="5:13" x14ac:dyDescent="0.1">
      <c r="E19" s="30"/>
      <c r="F19" s="42"/>
      <c r="G19" s="38"/>
      <c r="I19" s="39"/>
      <c r="J19" s="17"/>
      <c r="K19" s="17"/>
    </row>
    <row r="20" spans="5:13" x14ac:dyDescent="0.1">
      <c r="E20" s="30"/>
      <c r="F20" s="42"/>
      <c r="G20" s="38"/>
      <c r="I20" s="39"/>
      <c r="J20" s="17"/>
      <c r="K20" s="17"/>
    </row>
    <row r="21" spans="5:13" x14ac:dyDescent="0.1">
      <c r="E21" s="30"/>
      <c r="F21" s="42"/>
      <c r="G21" s="38"/>
      <c r="I21" s="39"/>
      <c r="J21" s="17"/>
      <c r="K21" s="17"/>
    </row>
    <row r="22" spans="5:13" x14ac:dyDescent="0.1">
      <c r="E22" s="30"/>
      <c r="F22" s="42"/>
      <c r="G22" s="46"/>
      <c r="J22" s="17"/>
      <c r="K22" s="17"/>
      <c r="M22" s="47"/>
    </row>
    <row r="23" spans="5:13" x14ac:dyDescent="0.1">
      <c r="E23" s="30"/>
      <c r="F23" s="42"/>
      <c r="G23" s="50"/>
      <c r="J23" s="17"/>
      <c r="K23" s="17"/>
      <c r="M23" s="17"/>
    </row>
    <row r="24" spans="5:13" x14ac:dyDescent="0.1">
      <c r="E24" s="30"/>
      <c r="F24" s="42"/>
      <c r="G24" s="50"/>
      <c r="J24" s="17"/>
      <c r="K24" s="17"/>
      <c r="M24" s="47"/>
    </row>
    <row r="25" spans="5:13" x14ac:dyDescent="0.1">
      <c r="E25" s="30"/>
      <c r="F25" s="42"/>
      <c r="G25" s="50"/>
      <c r="J25" s="17"/>
      <c r="K25" s="17"/>
      <c r="M25" s="47"/>
    </row>
    <row r="26" spans="5:13" x14ac:dyDescent="0.1">
      <c r="E26" s="30"/>
      <c r="F26" s="42"/>
      <c r="G26" s="50"/>
      <c r="J26" s="17"/>
      <c r="K26" s="17"/>
    </row>
    <row r="27" spans="5:13" x14ac:dyDescent="0.1">
      <c r="E27" s="30"/>
      <c r="F27" s="42"/>
      <c r="G27" s="50"/>
      <c r="J27" s="17"/>
      <c r="K27" s="17"/>
    </row>
    <row r="28" spans="5:13" x14ac:dyDescent="0.1">
      <c r="E28" s="30"/>
      <c r="F28" s="42"/>
      <c r="G28" s="50"/>
      <c r="J28" s="17"/>
      <c r="K28" s="17"/>
    </row>
    <row r="29" spans="5:13" x14ac:dyDescent="0.1">
      <c r="E29" s="30"/>
      <c r="F29" s="42"/>
      <c r="G29" s="50"/>
      <c r="J29" s="17"/>
      <c r="K29" s="17"/>
    </row>
    <row r="30" spans="5:13" x14ac:dyDescent="0.1">
      <c r="E30" s="30"/>
      <c r="F30" s="42"/>
      <c r="G30" s="50"/>
      <c r="J30" s="17"/>
      <c r="K30" s="17"/>
    </row>
    <row r="31" spans="5:13" x14ac:dyDescent="0.1">
      <c r="E31" s="30"/>
      <c r="F31" s="42"/>
      <c r="G31" s="50"/>
      <c r="J31" s="17"/>
      <c r="K31" s="17"/>
    </row>
    <row r="32" spans="5:13" x14ac:dyDescent="0.1">
      <c r="E32" s="30"/>
      <c r="F32" s="42"/>
      <c r="G32" s="50"/>
      <c r="J32" s="17"/>
      <c r="K32" s="17"/>
    </row>
    <row r="33" spans="5:11" x14ac:dyDescent="0.1">
      <c r="E33" s="30"/>
      <c r="F33" s="42"/>
      <c r="G33" s="50"/>
      <c r="J33" s="17"/>
      <c r="K33" s="17"/>
    </row>
    <row r="34" spans="5:11" x14ac:dyDescent="0.1">
      <c r="E34" s="30"/>
      <c r="F34" s="42"/>
      <c r="G34" s="52"/>
      <c r="J34" s="17"/>
      <c r="K34" s="17"/>
    </row>
    <row r="35" spans="5:11" x14ac:dyDescent="0.1">
      <c r="E35" s="30"/>
      <c r="F35" s="42"/>
      <c r="G35" s="52"/>
      <c r="J35" s="17"/>
      <c r="K35" s="17"/>
    </row>
    <row r="36" spans="5:11" x14ac:dyDescent="0.1">
      <c r="E36" s="30"/>
      <c r="F36" s="42"/>
      <c r="G36" s="52"/>
      <c r="J36" s="17"/>
      <c r="K36" s="17"/>
    </row>
    <row r="37" spans="5:11" x14ac:dyDescent="0.1">
      <c r="E37" s="30"/>
      <c r="F37" s="42"/>
      <c r="G37" s="52"/>
      <c r="J37" s="17"/>
      <c r="K37" s="17"/>
    </row>
    <row r="38" spans="5:11" x14ac:dyDescent="0.1">
      <c r="E38" s="30"/>
      <c r="F38" s="42"/>
      <c r="G38" s="52"/>
      <c r="J38" s="17"/>
      <c r="K38" s="17"/>
    </row>
    <row r="39" spans="5:11" x14ac:dyDescent="0.1">
      <c r="E39" s="30"/>
      <c r="F39" s="42"/>
      <c r="G39" s="52"/>
      <c r="J39" s="17"/>
      <c r="K39" s="17"/>
    </row>
    <row r="40" spans="5:11" x14ac:dyDescent="0.1">
      <c r="E40" s="30"/>
      <c r="F40" s="42"/>
      <c r="G40" s="52"/>
      <c r="J40" s="17"/>
      <c r="K40" s="17"/>
    </row>
    <row r="41" spans="5:11" x14ac:dyDescent="0.1">
      <c r="E41" s="30"/>
      <c r="F41" s="42"/>
      <c r="G41" s="52"/>
      <c r="J41" s="17"/>
      <c r="K41" s="17"/>
    </row>
    <row r="42" spans="5:11" x14ac:dyDescent="0.1">
      <c r="E42" s="30"/>
      <c r="F42" s="42"/>
      <c r="G42" s="52"/>
      <c r="J42" s="17"/>
      <c r="K42" s="17"/>
    </row>
    <row r="43" spans="5:11" x14ac:dyDescent="0.1">
      <c r="E43" s="30"/>
      <c r="F43" s="42"/>
      <c r="G43" s="52"/>
      <c r="J43" s="17"/>
      <c r="K43" s="17"/>
    </row>
    <row r="44" spans="5:11" x14ac:dyDescent="0.1">
      <c r="E44" s="30"/>
      <c r="F44" s="42"/>
      <c r="G44" s="52"/>
      <c r="J44" s="17"/>
      <c r="K44" s="17"/>
    </row>
    <row r="45" spans="5:11" x14ac:dyDescent="0.1">
      <c r="E45" s="30"/>
      <c r="F45" s="42"/>
      <c r="G45" s="52"/>
      <c r="J45" s="17"/>
      <c r="K45" s="17"/>
    </row>
    <row r="46" spans="5:11" x14ac:dyDescent="0.1">
      <c r="E46" s="30"/>
      <c r="F46" s="42"/>
      <c r="G46" s="52"/>
      <c r="J46" s="17"/>
      <c r="K46" s="17"/>
    </row>
    <row r="47" spans="5:11" x14ac:dyDescent="0.1">
      <c r="E47" s="30"/>
      <c r="F47" s="42"/>
      <c r="G47" s="52"/>
      <c r="J47" s="17"/>
      <c r="K47" s="17"/>
    </row>
    <row r="48" spans="5:11" x14ac:dyDescent="0.1">
      <c r="E48" s="30"/>
      <c r="F48" s="42"/>
      <c r="G48" s="52"/>
      <c r="J48" s="17"/>
      <c r="K48" s="17"/>
    </row>
    <row r="49" spans="5:11" x14ac:dyDescent="0.1">
      <c r="E49" s="30"/>
      <c r="F49" s="42"/>
      <c r="G49" s="52"/>
      <c r="J49" s="17"/>
      <c r="K49" s="17"/>
    </row>
    <row r="50" spans="5:11" x14ac:dyDescent="0.1">
      <c r="E50" s="30"/>
      <c r="F50" s="42"/>
      <c r="G50" s="52"/>
      <c r="J50" s="17"/>
      <c r="K50" s="17"/>
    </row>
    <row r="51" spans="5:11" x14ac:dyDescent="0.1">
      <c r="E51" s="30"/>
      <c r="F51" s="42"/>
      <c r="G51" s="52"/>
      <c r="J51" s="17"/>
      <c r="K51" s="17"/>
    </row>
    <row r="52" spans="5:11" x14ac:dyDescent="0.1">
      <c r="E52" s="30"/>
      <c r="F52" s="42"/>
      <c r="G52" s="52"/>
      <c r="J52" s="17"/>
      <c r="K52" s="17"/>
    </row>
    <row r="53" spans="5:11" x14ac:dyDescent="0.1">
      <c r="E53" s="30"/>
      <c r="F53" s="42"/>
      <c r="G53" s="52"/>
      <c r="J53" s="17"/>
      <c r="K53" s="17"/>
    </row>
    <row r="54" spans="5:11" x14ac:dyDescent="0.1">
      <c r="E54" s="30"/>
      <c r="F54" s="42"/>
      <c r="G54" s="52"/>
      <c r="J54" s="17"/>
      <c r="K54" s="17"/>
    </row>
    <row r="55" spans="5:11" x14ac:dyDescent="0.1">
      <c r="E55" s="30"/>
      <c r="F55" s="42"/>
      <c r="G55" s="52"/>
      <c r="J55" s="17"/>
      <c r="K55" s="17"/>
    </row>
    <row r="56" spans="5:11" x14ac:dyDescent="0.1">
      <c r="E56" s="30"/>
      <c r="F56" s="42"/>
      <c r="G56" s="52"/>
      <c r="J56" s="17"/>
      <c r="K56" s="17"/>
    </row>
    <row r="57" spans="5:11" x14ac:dyDescent="0.1">
      <c r="E57" s="30"/>
      <c r="F57" s="42"/>
      <c r="G57" s="52"/>
      <c r="J57" s="17"/>
      <c r="K57" s="17"/>
    </row>
    <row r="58" spans="5:11" x14ac:dyDescent="0.1">
      <c r="E58" s="30"/>
      <c r="F58" s="42"/>
      <c r="G58" s="52"/>
      <c r="J58" s="17"/>
      <c r="K58" s="17"/>
    </row>
    <row r="59" spans="5:11" x14ac:dyDescent="0.1">
      <c r="E59" s="30"/>
      <c r="F59" s="42"/>
      <c r="G59" s="52"/>
      <c r="J59" s="17"/>
      <c r="K59" s="17"/>
    </row>
    <row r="60" spans="5:11" x14ac:dyDescent="0.1">
      <c r="E60" s="30"/>
      <c r="F60" s="42"/>
      <c r="G60" s="52"/>
      <c r="J60" s="17"/>
      <c r="K60" s="17"/>
    </row>
    <row r="61" spans="5:11" x14ac:dyDescent="0.1">
      <c r="E61" s="30"/>
      <c r="F61" s="42"/>
      <c r="G61" s="52"/>
      <c r="J61" s="17"/>
      <c r="K61" s="17"/>
    </row>
    <row r="62" spans="5:11" x14ac:dyDescent="0.1">
      <c r="E62" s="30"/>
      <c r="F62" s="42"/>
      <c r="G62" s="52"/>
      <c r="J62" s="17"/>
      <c r="K62" s="17"/>
    </row>
    <row r="63" spans="5:11" x14ac:dyDescent="0.1">
      <c r="E63" s="30"/>
      <c r="F63" s="42"/>
      <c r="G63" s="52"/>
      <c r="J63" s="17"/>
      <c r="K63" s="17"/>
    </row>
    <row r="64" spans="5:11" x14ac:dyDescent="0.1">
      <c r="E64" s="30"/>
      <c r="F64" s="42"/>
      <c r="G64" s="52"/>
      <c r="J64" s="17"/>
      <c r="K64" s="17"/>
    </row>
    <row r="65" spans="5:11" x14ac:dyDescent="0.1">
      <c r="E65" s="30"/>
      <c r="F65" s="42"/>
      <c r="G65" s="52"/>
      <c r="J65" s="17"/>
      <c r="K65" s="17"/>
    </row>
    <row r="66" spans="5:11" x14ac:dyDescent="0.1">
      <c r="E66" s="30"/>
      <c r="F66" s="42"/>
      <c r="G66" s="52"/>
      <c r="J66" s="17"/>
      <c r="K66" s="17"/>
    </row>
    <row r="67" spans="5:11" x14ac:dyDescent="0.1">
      <c r="E67" s="30"/>
      <c r="F67" s="42"/>
      <c r="G67" s="52"/>
      <c r="J67" s="17"/>
      <c r="K67" s="17"/>
    </row>
    <row r="68" spans="5:11" x14ac:dyDescent="0.1">
      <c r="E68" s="30"/>
      <c r="F68" s="42"/>
      <c r="G68" s="52"/>
      <c r="J68" s="17"/>
      <c r="K68" s="17"/>
    </row>
    <row r="69" spans="5:11" x14ac:dyDescent="0.1">
      <c r="E69" s="30"/>
      <c r="F69" s="42"/>
      <c r="G69" s="52"/>
      <c r="J69" s="17"/>
      <c r="K69" s="17"/>
    </row>
    <row r="70" spans="5:11" x14ac:dyDescent="0.1">
      <c r="E70" s="30"/>
      <c r="F70" s="42"/>
      <c r="G70" s="52"/>
      <c r="J70" s="17"/>
      <c r="K70" s="17"/>
    </row>
    <row r="71" spans="5:11" x14ac:dyDescent="0.1">
      <c r="E71" s="30"/>
      <c r="F71" s="42"/>
      <c r="G71" s="52"/>
      <c r="J71" s="17"/>
      <c r="K71" s="17"/>
    </row>
    <row r="72" spans="5:11" x14ac:dyDescent="0.1">
      <c r="E72" s="30"/>
      <c r="F72" s="42"/>
      <c r="G72" s="52"/>
      <c r="J72" s="17"/>
      <c r="K72" s="17"/>
    </row>
    <row r="73" spans="5:11" x14ac:dyDescent="0.1">
      <c r="E73" s="30"/>
      <c r="F73" s="42"/>
      <c r="G73" s="52"/>
      <c r="J73" s="17"/>
      <c r="K73" s="17"/>
    </row>
    <row r="74" spans="5:11" x14ac:dyDescent="0.1">
      <c r="E74" s="30"/>
      <c r="F74" s="42"/>
      <c r="G74" s="52"/>
      <c r="J74" s="17"/>
      <c r="K74" s="17"/>
    </row>
    <row r="75" spans="5:11" x14ac:dyDescent="0.1">
      <c r="E75" s="30"/>
      <c r="F75" s="42"/>
      <c r="G75" s="52"/>
      <c r="J75" s="17"/>
      <c r="K75" s="17"/>
    </row>
    <row r="76" spans="5:11" x14ac:dyDescent="0.1">
      <c r="E76" s="30"/>
      <c r="F76" s="42"/>
      <c r="G76" s="52"/>
      <c r="J76" s="17"/>
      <c r="K76" s="17"/>
    </row>
    <row r="77" spans="5:11" x14ac:dyDescent="0.1">
      <c r="E77" s="30"/>
      <c r="F77" s="42"/>
      <c r="G77" s="52"/>
      <c r="J77" s="17"/>
      <c r="K77" s="17"/>
    </row>
    <row r="78" spans="5:11" x14ac:dyDescent="0.1">
      <c r="E78" s="30"/>
      <c r="F78" s="42"/>
      <c r="G78" s="52"/>
      <c r="J78" s="17"/>
      <c r="K78" s="17"/>
    </row>
    <row r="79" spans="5:11" x14ac:dyDescent="0.1">
      <c r="E79" s="30"/>
      <c r="F79" s="42"/>
      <c r="G79" s="52"/>
      <c r="J79" s="17"/>
      <c r="K79" s="17"/>
    </row>
    <row r="80" spans="5:11" x14ac:dyDescent="0.1">
      <c r="E80" s="30"/>
      <c r="F80" s="42"/>
      <c r="G80" s="52"/>
      <c r="J80" s="17"/>
      <c r="K80" s="17"/>
    </row>
    <row r="81" spans="5:11" x14ac:dyDescent="0.1">
      <c r="E81" s="30"/>
      <c r="F81" s="42"/>
      <c r="G81" s="52"/>
      <c r="J81" s="17"/>
      <c r="K81" s="17"/>
    </row>
    <row r="82" spans="5:11" x14ac:dyDescent="0.1">
      <c r="E82" s="30"/>
      <c r="F82" s="42"/>
      <c r="G82" s="52"/>
      <c r="J82" s="17"/>
      <c r="K82" s="17"/>
    </row>
    <row r="83" spans="5:11" x14ac:dyDescent="0.1">
      <c r="E83" s="30"/>
      <c r="F83" s="42"/>
      <c r="G83" s="52"/>
      <c r="J83" s="17"/>
      <c r="K83" s="17"/>
    </row>
    <row r="84" spans="5:11" x14ac:dyDescent="0.1">
      <c r="E84" s="30"/>
      <c r="F84" s="42"/>
      <c r="G84" s="52"/>
      <c r="J84" s="17"/>
      <c r="K84" s="17"/>
    </row>
    <row r="85" spans="5:11" x14ac:dyDescent="0.1">
      <c r="E85" s="30"/>
      <c r="F85" s="42"/>
      <c r="G85" s="52"/>
      <c r="J85" s="17"/>
      <c r="K85" s="17"/>
    </row>
    <row r="86" spans="5:11" x14ac:dyDescent="0.1">
      <c r="E86" s="30"/>
      <c r="F86" s="42"/>
      <c r="G86" s="52"/>
      <c r="J86" s="17"/>
      <c r="K86" s="17"/>
    </row>
    <row r="87" spans="5:11" x14ac:dyDescent="0.1">
      <c r="E87" s="30"/>
      <c r="F87" s="42"/>
      <c r="G87" s="52"/>
      <c r="J87" s="17"/>
      <c r="K87" s="17"/>
    </row>
    <row r="88" spans="5:11" x14ac:dyDescent="0.1">
      <c r="E88" s="30"/>
      <c r="F88" s="42"/>
      <c r="G88" s="52"/>
      <c r="J88" s="17"/>
      <c r="K88" s="17"/>
    </row>
    <row r="89" spans="5:11" x14ac:dyDescent="0.1">
      <c r="E89" s="30"/>
      <c r="F89" s="42"/>
      <c r="G89" s="52"/>
      <c r="J89" s="17"/>
      <c r="K89" s="17"/>
    </row>
    <row r="90" spans="5:11" x14ac:dyDescent="0.1">
      <c r="E90" s="30"/>
      <c r="F90" s="42"/>
      <c r="G90" s="52"/>
      <c r="J90" s="17"/>
      <c r="K90" s="17"/>
    </row>
    <row r="91" spans="5:11" x14ac:dyDescent="0.1">
      <c r="E91" s="30"/>
      <c r="F91" s="42"/>
      <c r="G91" s="52"/>
      <c r="J91" s="17"/>
      <c r="K91" s="17"/>
    </row>
    <row r="92" spans="5:11" x14ac:dyDescent="0.1">
      <c r="E92" s="30"/>
      <c r="F92" s="42"/>
      <c r="G92" s="52"/>
      <c r="J92" s="17"/>
      <c r="K92" s="17"/>
    </row>
    <row r="93" spans="5:11" x14ac:dyDescent="0.1">
      <c r="E93" s="30"/>
      <c r="F93" s="42"/>
      <c r="G93" s="52"/>
      <c r="J93" s="17"/>
      <c r="K93" s="17"/>
    </row>
    <row r="94" spans="5:11" x14ac:dyDescent="0.1">
      <c r="E94" s="30"/>
      <c r="F94" s="42"/>
      <c r="G94" s="52"/>
      <c r="J94" s="17"/>
      <c r="K94" s="17"/>
    </row>
    <row r="95" spans="5:11" x14ac:dyDescent="0.1">
      <c r="E95" s="30"/>
      <c r="F95" s="42"/>
      <c r="G95" s="52"/>
      <c r="J95" s="17"/>
      <c r="K95" s="17"/>
    </row>
    <row r="96" spans="5:11" x14ac:dyDescent="0.1">
      <c r="E96" s="30"/>
      <c r="F96" s="42"/>
      <c r="G96" s="52"/>
      <c r="J96" s="17"/>
      <c r="K96" s="17"/>
    </row>
    <row r="97" spans="5:11" x14ac:dyDescent="0.1">
      <c r="E97" s="30"/>
      <c r="F97" s="42"/>
      <c r="G97" s="52"/>
      <c r="J97" s="17"/>
      <c r="K97" s="17"/>
    </row>
    <row r="98" spans="5:11" x14ac:dyDescent="0.1">
      <c r="E98" s="30"/>
      <c r="F98" s="42"/>
      <c r="G98" s="52"/>
      <c r="J98" s="17"/>
      <c r="K98" s="17"/>
    </row>
    <row r="99" spans="5:11" x14ac:dyDescent="0.1">
      <c r="E99" s="30"/>
      <c r="F99" s="42"/>
      <c r="G99" s="52"/>
      <c r="J99" s="17"/>
      <c r="K99" s="17"/>
    </row>
    <row r="100" spans="5:11" x14ac:dyDescent="0.1">
      <c r="E100" s="30"/>
      <c r="F100" s="42"/>
      <c r="G100" s="52"/>
      <c r="J100" s="17"/>
      <c r="K100" s="17"/>
    </row>
    <row r="101" spans="5:11" x14ac:dyDescent="0.1">
      <c r="E101" s="30"/>
      <c r="F101" s="42"/>
      <c r="G101" s="52"/>
      <c r="J101" s="17"/>
      <c r="K101" s="17"/>
    </row>
    <row r="102" spans="5:11" x14ac:dyDescent="0.1">
      <c r="E102" s="30"/>
      <c r="F102" s="42"/>
      <c r="G102" s="52"/>
      <c r="J102" s="17"/>
      <c r="K102" s="17"/>
    </row>
    <row r="103" spans="5:11" x14ac:dyDescent="0.1">
      <c r="E103" s="30"/>
      <c r="F103" s="42"/>
      <c r="G103" s="52"/>
      <c r="J103" s="17"/>
      <c r="K103" s="17"/>
    </row>
    <row r="104" spans="5:11" x14ac:dyDescent="0.1">
      <c r="E104" s="30"/>
      <c r="F104" s="42"/>
      <c r="G104" s="52"/>
      <c r="J104" s="17"/>
      <c r="K104" s="17"/>
    </row>
    <row r="105" spans="5:11" x14ac:dyDescent="0.1">
      <c r="E105" s="30"/>
      <c r="F105" s="42"/>
      <c r="G105" s="52"/>
      <c r="J105" s="17"/>
      <c r="K105" s="17"/>
    </row>
    <row r="106" spans="5:11" x14ac:dyDescent="0.1">
      <c r="E106" s="30"/>
      <c r="F106" s="42"/>
      <c r="G106" s="52"/>
      <c r="J106" s="17"/>
      <c r="K106" s="17"/>
    </row>
    <row r="107" spans="5:11" x14ac:dyDescent="0.1">
      <c r="E107" s="30"/>
      <c r="F107" s="42"/>
      <c r="G107" s="52"/>
      <c r="J107" s="17"/>
      <c r="K107" s="17"/>
    </row>
    <row r="108" spans="5:11" x14ac:dyDescent="0.1">
      <c r="E108" s="30"/>
      <c r="F108" s="42"/>
      <c r="G108" s="52"/>
      <c r="J108" s="17"/>
      <c r="K108" s="17"/>
    </row>
    <row r="109" spans="5:11" x14ac:dyDescent="0.1">
      <c r="E109" s="30"/>
      <c r="F109" s="42"/>
      <c r="G109" s="52"/>
      <c r="J109" s="17"/>
      <c r="K109" s="17"/>
    </row>
    <row r="110" spans="5:11" x14ac:dyDescent="0.1">
      <c r="E110" s="30"/>
      <c r="F110" s="42"/>
      <c r="G110" s="52"/>
      <c r="J110" s="17"/>
      <c r="K110" s="17"/>
    </row>
    <row r="111" spans="5:11" x14ac:dyDescent="0.1">
      <c r="E111" s="30"/>
      <c r="F111" s="42"/>
      <c r="G111" s="52"/>
      <c r="J111" s="17"/>
      <c r="K111" s="17"/>
    </row>
    <row r="112" spans="5:11" x14ac:dyDescent="0.1">
      <c r="E112" s="30"/>
      <c r="F112" s="42"/>
      <c r="G112" s="52"/>
      <c r="J112" s="17"/>
      <c r="K112" s="17"/>
    </row>
    <row r="113" spans="5:11" x14ac:dyDescent="0.1">
      <c r="E113" s="30"/>
      <c r="F113" s="42"/>
      <c r="G113" s="52"/>
      <c r="J113" s="17"/>
      <c r="K113" s="17"/>
    </row>
    <row r="114" spans="5:11" x14ac:dyDescent="0.2">
      <c r="E114" s="10"/>
      <c r="F114" s="53"/>
      <c r="G114" s="35"/>
      <c r="J114" s="17"/>
      <c r="K114" s="17"/>
    </row>
    <row r="115" spans="5:11" x14ac:dyDescent="0.2">
      <c r="E115" s="10"/>
      <c r="F115" s="53"/>
      <c r="G115" s="35"/>
      <c r="J115" s="17"/>
      <c r="K115" s="17"/>
    </row>
    <row r="116" spans="5:11" x14ac:dyDescent="0.2">
      <c r="E116" s="10"/>
      <c r="F116" s="53"/>
      <c r="G116" s="35"/>
      <c r="J116" s="17"/>
      <c r="K116" s="17"/>
    </row>
    <row r="117" spans="5:11" x14ac:dyDescent="0.2">
      <c r="E117" s="10"/>
      <c r="F117" s="53"/>
      <c r="G117" s="35"/>
      <c r="J117" s="17"/>
      <c r="K117" s="17"/>
    </row>
    <row r="118" spans="5:11" x14ac:dyDescent="0.2">
      <c r="E118" s="10"/>
      <c r="F118" s="53"/>
      <c r="G118" s="35"/>
      <c r="J118" s="17"/>
      <c r="K118" s="17"/>
    </row>
    <row r="119" spans="5:11" x14ac:dyDescent="0.2">
      <c r="E119" s="10"/>
      <c r="F119" s="53"/>
      <c r="G119" s="35"/>
      <c r="J119" s="17"/>
      <c r="K119" s="17"/>
    </row>
    <row r="120" spans="5:11" x14ac:dyDescent="0.2">
      <c r="E120" s="10"/>
      <c r="F120" s="53"/>
      <c r="G120" s="35"/>
      <c r="J120" s="17"/>
      <c r="K120" s="17"/>
    </row>
    <row r="121" spans="5:11" x14ac:dyDescent="0.2">
      <c r="E121" s="10"/>
      <c r="F121" s="53"/>
      <c r="G121" s="35"/>
      <c r="J121" s="17"/>
      <c r="K121" s="17"/>
    </row>
    <row r="122" spans="5:11" x14ac:dyDescent="0.2">
      <c r="E122" s="10"/>
      <c r="F122" s="53"/>
      <c r="G122" s="35"/>
      <c r="J122" s="17"/>
      <c r="K122" s="17"/>
    </row>
    <row r="123" spans="5:11" x14ac:dyDescent="0.2">
      <c r="E123" s="10"/>
      <c r="F123" s="53"/>
      <c r="G123" s="35"/>
      <c r="J123" s="17"/>
      <c r="K123" s="17"/>
    </row>
    <row r="124" spans="5:11" x14ac:dyDescent="0.2">
      <c r="E124" s="10"/>
      <c r="F124" s="53"/>
      <c r="G124" s="35"/>
      <c r="J124" s="17"/>
      <c r="K124" s="17"/>
    </row>
    <row r="125" spans="5:11" x14ac:dyDescent="0.2">
      <c r="E125" s="10"/>
      <c r="F125" s="53"/>
      <c r="G125" s="35"/>
      <c r="J125" s="17"/>
      <c r="K125" s="17"/>
    </row>
    <row r="126" spans="5:11" x14ac:dyDescent="0.2">
      <c r="E126" s="10"/>
      <c r="F126" s="53"/>
      <c r="G126" s="35"/>
      <c r="J126" s="17"/>
      <c r="K126" s="17"/>
    </row>
    <row r="127" spans="5:11" x14ac:dyDescent="0.2">
      <c r="E127" s="10"/>
      <c r="F127" s="53"/>
      <c r="G127" s="35"/>
      <c r="J127" s="17"/>
      <c r="K127" s="17"/>
    </row>
    <row r="128" spans="5:11" x14ac:dyDescent="0.2">
      <c r="E128" s="10"/>
      <c r="F128" s="53"/>
      <c r="G128" s="35"/>
      <c r="J128" s="17"/>
      <c r="K128" s="17"/>
    </row>
    <row r="129" spans="5:11" x14ac:dyDescent="0.2">
      <c r="E129" s="10"/>
      <c r="F129" s="53"/>
      <c r="G129" s="35"/>
      <c r="J129" s="17"/>
      <c r="K129" s="17"/>
    </row>
    <row r="130" spans="5:11" x14ac:dyDescent="0.2">
      <c r="E130" s="10"/>
      <c r="F130" s="53"/>
      <c r="G130" s="35"/>
      <c r="J130" s="17"/>
      <c r="K130" s="17"/>
    </row>
    <row r="131" spans="5:11" x14ac:dyDescent="0.2">
      <c r="E131" s="10"/>
      <c r="F131" s="53"/>
      <c r="G131" s="35"/>
      <c r="J131" s="17"/>
      <c r="K131" s="17"/>
    </row>
    <row r="132" spans="5:11" x14ac:dyDescent="0.2">
      <c r="E132" s="10"/>
      <c r="F132" s="53"/>
      <c r="G132" s="35"/>
      <c r="J132" s="17"/>
      <c r="K132" s="17"/>
    </row>
    <row r="133" spans="5:11" x14ac:dyDescent="0.2">
      <c r="E133" s="10"/>
      <c r="F133" s="53"/>
      <c r="G133" s="35"/>
      <c r="J133" s="17"/>
      <c r="K133" s="17"/>
    </row>
    <row r="134" spans="5:11" x14ac:dyDescent="0.2">
      <c r="E134" s="10"/>
      <c r="F134" s="53"/>
      <c r="G134" s="35"/>
      <c r="J134" s="17"/>
      <c r="K134" s="17"/>
    </row>
    <row r="135" spans="5:11" x14ac:dyDescent="0.2">
      <c r="E135" s="10"/>
      <c r="F135" s="53"/>
      <c r="G135" s="35"/>
      <c r="J135" s="17"/>
      <c r="K135" s="17"/>
    </row>
    <row r="136" spans="5:11" x14ac:dyDescent="0.2">
      <c r="E136" s="10"/>
      <c r="F136" s="53"/>
      <c r="G136" s="35"/>
      <c r="J136" s="17"/>
      <c r="K136" s="17"/>
    </row>
    <row r="137" spans="5:11" x14ac:dyDescent="0.2">
      <c r="E137" s="10"/>
      <c r="F137" s="53"/>
      <c r="G137" s="35"/>
      <c r="J137" s="17"/>
      <c r="K137" s="17"/>
    </row>
    <row r="138" spans="5:11" x14ac:dyDescent="0.2">
      <c r="E138" s="10"/>
      <c r="F138" s="53"/>
      <c r="G138" s="35"/>
      <c r="J138" s="17"/>
      <c r="K138" s="17"/>
    </row>
    <row r="139" spans="5:11" x14ac:dyDescent="0.2">
      <c r="E139" s="10"/>
      <c r="F139" s="53"/>
      <c r="G139" s="35"/>
      <c r="J139" s="17"/>
      <c r="K139" s="17"/>
    </row>
    <row r="140" spans="5:11" x14ac:dyDescent="0.2">
      <c r="E140" s="10"/>
      <c r="F140" s="53"/>
      <c r="G140" s="35"/>
      <c r="J140" s="17"/>
      <c r="K140" s="17"/>
    </row>
    <row r="141" spans="5:11" x14ac:dyDescent="0.2">
      <c r="E141" s="10"/>
      <c r="F141" s="53"/>
      <c r="G141" s="35"/>
      <c r="J141" s="17"/>
      <c r="K141" s="17"/>
    </row>
    <row r="142" spans="5:11" x14ac:dyDescent="0.2">
      <c r="E142" s="10"/>
      <c r="F142" s="53"/>
      <c r="G142" s="35"/>
      <c r="J142" s="17"/>
      <c r="K142" s="17"/>
    </row>
    <row r="143" spans="5:11" x14ac:dyDescent="0.2">
      <c r="E143" s="10"/>
      <c r="F143" s="53"/>
      <c r="G143" s="35"/>
      <c r="J143" s="17"/>
      <c r="K143" s="17"/>
    </row>
    <row r="144" spans="5:11" x14ac:dyDescent="0.2">
      <c r="E144" s="10"/>
      <c r="F144" s="53"/>
      <c r="G144" s="35"/>
      <c r="J144" s="17"/>
      <c r="K144" s="17"/>
    </row>
    <row r="145" spans="5:11" x14ac:dyDescent="0.2">
      <c r="E145" s="10"/>
      <c r="F145" s="53"/>
      <c r="G145" s="35"/>
      <c r="J145" s="17"/>
      <c r="K145" s="17"/>
    </row>
    <row r="146" spans="5:11" x14ac:dyDescent="0.2">
      <c r="E146" s="10"/>
      <c r="F146" s="53"/>
      <c r="G146" s="35"/>
      <c r="J146" s="17"/>
      <c r="K146" s="17"/>
    </row>
    <row r="147" spans="5:11" x14ac:dyDescent="0.2">
      <c r="E147" s="10"/>
      <c r="F147" s="53"/>
      <c r="G147" s="35"/>
      <c r="J147" s="17"/>
      <c r="K147" s="17"/>
    </row>
    <row r="148" spans="5:11" x14ac:dyDescent="0.2">
      <c r="E148" s="10"/>
      <c r="F148" s="53"/>
      <c r="G148" s="35"/>
      <c r="J148" s="17"/>
      <c r="K148" s="17"/>
    </row>
    <row r="149" spans="5:11" x14ac:dyDescent="0.2">
      <c r="E149" s="10"/>
      <c r="F149" s="53"/>
      <c r="G149" s="35"/>
      <c r="J149" s="17"/>
      <c r="K149" s="17"/>
    </row>
    <row r="150" spans="5:11" x14ac:dyDescent="0.2">
      <c r="E150" s="10"/>
      <c r="F150" s="53"/>
      <c r="G150" s="35"/>
      <c r="J150" s="17"/>
      <c r="K150" s="17"/>
    </row>
    <row r="151" spans="5:11" x14ac:dyDescent="0.2">
      <c r="E151" s="10"/>
      <c r="F151" s="53"/>
      <c r="G151" s="35"/>
      <c r="J151" s="17"/>
      <c r="K151" s="17"/>
    </row>
    <row r="152" spans="5:11" x14ac:dyDescent="0.2">
      <c r="E152" s="10"/>
      <c r="F152" s="53"/>
      <c r="G152" s="35"/>
      <c r="J152" s="17"/>
      <c r="K152" s="17"/>
    </row>
    <row r="153" spans="5:11" x14ac:dyDescent="0.2">
      <c r="E153" s="10"/>
      <c r="F153" s="53"/>
      <c r="G153" s="35"/>
      <c r="J153" s="17"/>
      <c r="K153" s="17"/>
    </row>
    <row r="154" spans="5:11" x14ac:dyDescent="0.2">
      <c r="E154" s="45"/>
      <c r="F154" s="53"/>
      <c r="G154" s="35"/>
      <c r="J154" s="17"/>
      <c r="K154" s="17"/>
    </row>
    <row r="155" spans="5:11" x14ac:dyDescent="0.2">
      <c r="E155" s="45"/>
      <c r="F155" s="53"/>
      <c r="G155" s="35"/>
      <c r="J155" s="17"/>
      <c r="K155" s="17"/>
    </row>
    <row r="156" spans="5:11" x14ac:dyDescent="0.2">
      <c r="E156" s="10"/>
      <c r="F156" s="53"/>
      <c r="G156" s="35"/>
      <c r="J156" s="17"/>
      <c r="K156" s="17"/>
    </row>
    <row r="157" spans="5:11" x14ac:dyDescent="0.2">
      <c r="E157" s="10"/>
      <c r="F157" s="53"/>
      <c r="G157" s="35"/>
      <c r="J157" s="17"/>
      <c r="K157" s="17"/>
    </row>
    <row r="158" spans="5:11" x14ac:dyDescent="0.2">
      <c r="E158" s="10"/>
      <c r="F158" s="53"/>
      <c r="G158" s="35"/>
      <c r="J158" s="17"/>
      <c r="K158" s="17"/>
    </row>
    <row r="159" spans="5:11" x14ac:dyDescent="0.2">
      <c r="E159" s="10"/>
      <c r="F159" s="53"/>
      <c r="G159" s="35"/>
      <c r="J159" s="17"/>
      <c r="K159" s="17"/>
    </row>
    <row r="160" spans="5:11" x14ac:dyDescent="0.2">
      <c r="E160" s="10"/>
      <c r="F160" s="53"/>
      <c r="G160" s="35"/>
      <c r="J160" s="17"/>
      <c r="K160" s="17"/>
    </row>
    <row r="161" spans="5:11" x14ac:dyDescent="0.2">
      <c r="E161" s="10"/>
      <c r="F161" s="53"/>
      <c r="G161" s="35"/>
      <c r="J161" s="17"/>
      <c r="K161" s="17"/>
    </row>
    <row r="162" spans="5:11" x14ac:dyDescent="0.2">
      <c r="E162" s="10"/>
      <c r="F162" s="53"/>
      <c r="G162" s="35"/>
      <c r="J162" s="17"/>
      <c r="K162" s="17"/>
    </row>
    <row r="163" spans="5:11" x14ac:dyDescent="0.2">
      <c r="E163" s="10"/>
      <c r="F163" s="53"/>
      <c r="G163" s="35"/>
      <c r="J163" s="17"/>
      <c r="K163" s="17"/>
    </row>
    <row r="164" spans="5:11" x14ac:dyDescent="0.2">
      <c r="E164" s="10"/>
      <c r="F164" s="53"/>
      <c r="G164" s="35"/>
      <c r="J164" s="17"/>
      <c r="K164" s="17"/>
    </row>
    <row r="165" spans="5:11" x14ac:dyDescent="0.2">
      <c r="E165" s="10"/>
      <c r="F165" s="53"/>
      <c r="G165" s="35"/>
      <c r="J165" s="17"/>
      <c r="K165" s="17"/>
    </row>
    <row r="166" spans="5:11" x14ac:dyDescent="0.2">
      <c r="E166" s="10"/>
      <c r="F166" s="53"/>
      <c r="G166" s="9"/>
      <c r="J166" s="17"/>
      <c r="K166" s="17"/>
    </row>
    <row r="167" spans="5:11" x14ac:dyDescent="0.2">
      <c r="E167" s="10"/>
      <c r="F167" s="53"/>
      <c r="G167" s="9"/>
      <c r="J167" s="17"/>
      <c r="K167" s="17"/>
    </row>
    <row r="168" spans="5:11" x14ac:dyDescent="0.2">
      <c r="E168" s="10"/>
      <c r="F168" s="53"/>
      <c r="G168" s="9"/>
      <c r="J168" s="17"/>
      <c r="K168" s="17"/>
    </row>
    <row r="169" spans="5:11" x14ac:dyDescent="0.2">
      <c r="E169" s="10"/>
      <c r="F169" s="53"/>
      <c r="G169" s="9"/>
      <c r="J169" s="17"/>
      <c r="K169" s="17"/>
    </row>
    <row r="170" spans="5:11" x14ac:dyDescent="0.2">
      <c r="E170" s="10"/>
      <c r="F170" s="53"/>
      <c r="G170" s="9"/>
      <c r="J170" s="17"/>
      <c r="K170" s="17"/>
    </row>
    <row r="171" spans="5:11" x14ac:dyDescent="0.2">
      <c r="E171" s="10"/>
      <c r="F171" s="53"/>
      <c r="G171" s="9"/>
      <c r="J171" s="17"/>
      <c r="K171" s="17"/>
    </row>
    <row r="172" spans="5:11" x14ac:dyDescent="0.2">
      <c r="E172" s="10"/>
      <c r="F172" s="53"/>
      <c r="G172" s="9"/>
      <c r="J172" s="17"/>
      <c r="K172" s="17"/>
    </row>
    <row r="173" spans="5:11" x14ac:dyDescent="0.2">
      <c r="E173" s="10"/>
      <c r="F173" s="53"/>
      <c r="G173" s="9"/>
      <c r="J173" s="17"/>
      <c r="K173" s="17"/>
    </row>
    <row r="174" spans="5:11" x14ac:dyDescent="0.2">
      <c r="E174" s="10"/>
      <c r="F174" s="53"/>
      <c r="G174" s="9"/>
      <c r="J174" s="17"/>
      <c r="K174" s="17"/>
    </row>
    <row r="175" spans="5:11" x14ac:dyDescent="0.2">
      <c r="E175" s="10"/>
      <c r="F175" s="53"/>
      <c r="G175" s="9"/>
      <c r="J175" s="17"/>
      <c r="K175" s="17"/>
    </row>
    <row r="176" spans="5:11" x14ac:dyDescent="0.2">
      <c r="E176" s="10"/>
      <c r="F176" s="53"/>
      <c r="G176" s="9"/>
      <c r="J176" s="17"/>
      <c r="K176" s="17"/>
    </row>
    <row r="177" spans="5:11" x14ac:dyDescent="0.2">
      <c r="E177" s="10"/>
      <c r="F177" s="53"/>
      <c r="G177" s="9"/>
      <c r="J177" s="17"/>
      <c r="K177" s="17"/>
    </row>
    <row r="178" spans="5:11" x14ac:dyDescent="0.2">
      <c r="E178" s="10"/>
      <c r="F178" s="53"/>
      <c r="G178" s="9"/>
      <c r="J178" s="17"/>
      <c r="K178" s="17"/>
    </row>
    <row r="179" spans="5:11" x14ac:dyDescent="0.2">
      <c r="E179" s="10"/>
      <c r="F179" s="53"/>
      <c r="G179" s="9"/>
      <c r="J179" s="17"/>
      <c r="K179" s="17"/>
    </row>
    <row r="180" spans="5:11" x14ac:dyDescent="0.2">
      <c r="E180" s="10"/>
      <c r="F180" s="53"/>
      <c r="G180" s="9"/>
      <c r="J180" s="17"/>
      <c r="K180" s="17"/>
    </row>
    <row r="181" spans="5:11" x14ac:dyDescent="0.2">
      <c r="E181" s="10"/>
      <c r="F181" s="53"/>
      <c r="G181" s="9"/>
      <c r="J181" s="17"/>
      <c r="K181" s="17"/>
    </row>
    <row r="182" spans="5:11" x14ac:dyDescent="0.2">
      <c r="E182" s="10"/>
      <c r="F182" s="53"/>
      <c r="G182" s="9"/>
      <c r="J182" s="17"/>
      <c r="K182" s="17"/>
    </row>
    <row r="183" spans="5:11" x14ac:dyDescent="0.2">
      <c r="E183" s="10"/>
      <c r="F183" s="53"/>
      <c r="G183" s="9"/>
      <c r="J183" s="17"/>
      <c r="K183" s="17"/>
    </row>
    <row r="184" spans="5:11" x14ac:dyDescent="0.2">
      <c r="E184" s="10"/>
      <c r="F184" s="53"/>
      <c r="G184" s="9"/>
      <c r="J184" s="17"/>
      <c r="K184" s="17"/>
    </row>
    <row r="185" spans="5:11" x14ac:dyDescent="0.2">
      <c r="E185" s="10"/>
      <c r="F185" s="53"/>
      <c r="G185" s="9"/>
      <c r="J185" s="17"/>
      <c r="K185" s="17"/>
    </row>
    <row r="186" spans="5:11" x14ac:dyDescent="0.2">
      <c r="E186" s="10"/>
      <c r="F186" s="53"/>
      <c r="G186" s="9"/>
      <c r="J186" s="17"/>
      <c r="K186" s="17"/>
    </row>
    <row r="187" spans="5:11" x14ac:dyDescent="0.2">
      <c r="E187" s="10"/>
      <c r="F187" s="53"/>
      <c r="G187" s="9"/>
      <c r="J187" s="17"/>
      <c r="K187" s="17"/>
    </row>
    <row r="188" spans="5:11" x14ac:dyDescent="0.2">
      <c r="E188" s="10"/>
      <c r="F188" s="53"/>
      <c r="G188" s="9"/>
      <c r="J188" s="17"/>
      <c r="K188" s="17"/>
    </row>
    <row r="189" spans="5:11" x14ac:dyDescent="0.2">
      <c r="E189" s="10"/>
      <c r="F189" s="53"/>
      <c r="G189" s="9"/>
      <c r="J189" s="17"/>
      <c r="K189" s="17"/>
    </row>
    <row r="190" spans="5:11" x14ac:dyDescent="0.2">
      <c r="E190" s="10"/>
      <c r="F190" s="53"/>
      <c r="G190" s="9"/>
      <c r="J190" s="17"/>
      <c r="K190" s="17"/>
    </row>
    <row r="191" spans="5:11" x14ac:dyDescent="0.2">
      <c r="E191" s="10"/>
      <c r="F191" s="53"/>
      <c r="G191" s="9"/>
      <c r="J191" s="17"/>
      <c r="K191" s="17"/>
    </row>
    <row r="192" spans="5:11" x14ac:dyDescent="0.2">
      <c r="E192" s="10"/>
      <c r="F192" s="53"/>
      <c r="G192" s="9"/>
      <c r="J192" s="17"/>
      <c r="K192" s="17"/>
    </row>
    <row r="193" spans="5:11" x14ac:dyDescent="0.2">
      <c r="E193" s="10"/>
      <c r="F193" s="53"/>
      <c r="G193" s="9"/>
      <c r="J193" s="17"/>
      <c r="K193" s="17"/>
    </row>
    <row r="194" spans="5:11" x14ac:dyDescent="0.2">
      <c r="E194" s="10"/>
      <c r="F194" s="53"/>
      <c r="G194" s="9"/>
      <c r="J194" s="17"/>
      <c r="K194" s="17"/>
    </row>
    <row r="195" spans="5:11" x14ac:dyDescent="0.2">
      <c r="E195" s="10"/>
      <c r="F195" s="53"/>
      <c r="G195" s="9"/>
      <c r="J195" s="17"/>
      <c r="K195" s="17"/>
    </row>
    <row r="196" spans="5:11" x14ac:dyDescent="0.2">
      <c r="E196" s="10"/>
      <c r="F196" s="53"/>
      <c r="G196" s="9"/>
      <c r="J196" s="17"/>
      <c r="K196" s="17"/>
    </row>
    <row r="197" spans="5:11" x14ac:dyDescent="0.2">
      <c r="E197" s="10"/>
      <c r="F197" s="53"/>
      <c r="G197" s="9"/>
      <c r="J197" s="17"/>
      <c r="K197" s="17"/>
    </row>
    <row r="198" spans="5:11" x14ac:dyDescent="0.2">
      <c r="E198" s="10"/>
      <c r="F198" s="53"/>
      <c r="G198" s="9"/>
      <c r="J198" s="17"/>
      <c r="K198" s="17"/>
    </row>
    <row r="199" spans="5:11" x14ac:dyDescent="0.2">
      <c r="E199" s="10"/>
      <c r="F199" s="53"/>
      <c r="G199" s="9"/>
      <c r="J199" s="17"/>
      <c r="K199" s="17"/>
    </row>
    <row r="200" spans="5:11" x14ac:dyDescent="0.2">
      <c r="E200" s="10"/>
      <c r="F200" s="53"/>
      <c r="G200" s="9"/>
      <c r="J200" s="17"/>
      <c r="K200" s="17"/>
    </row>
    <row r="201" spans="5:11" x14ac:dyDescent="0.2">
      <c r="E201" s="10"/>
      <c r="F201" s="53"/>
      <c r="G201" s="9"/>
      <c r="J201" s="17"/>
      <c r="K201" s="17"/>
    </row>
    <row r="202" spans="5:11" x14ac:dyDescent="0.2">
      <c r="E202" s="10"/>
      <c r="F202" s="53"/>
      <c r="G202" s="9"/>
      <c r="J202" s="17"/>
      <c r="K202" s="17"/>
    </row>
    <row r="203" spans="5:11" x14ac:dyDescent="0.2">
      <c r="E203" s="10"/>
      <c r="F203" s="53"/>
      <c r="G203" s="9"/>
      <c r="J203" s="17"/>
      <c r="K203" s="17"/>
    </row>
    <row r="204" spans="5:11" x14ac:dyDescent="0.2">
      <c r="E204" s="10"/>
      <c r="F204" s="53"/>
      <c r="G204" s="9"/>
      <c r="J204" s="17"/>
      <c r="K204" s="17"/>
    </row>
    <row r="205" spans="5:11" x14ac:dyDescent="0.2">
      <c r="E205" s="10"/>
      <c r="F205" s="53"/>
      <c r="G205" s="9"/>
      <c r="J205" s="17"/>
      <c r="K205" s="17"/>
    </row>
    <row r="206" spans="5:11" x14ac:dyDescent="0.2">
      <c r="E206" s="10"/>
      <c r="F206" s="53"/>
      <c r="G206" s="9"/>
      <c r="J206" s="17"/>
      <c r="K206" s="17"/>
    </row>
    <row r="207" spans="5:11" x14ac:dyDescent="0.2">
      <c r="E207" s="10"/>
      <c r="F207" s="53"/>
      <c r="G207" s="9"/>
      <c r="J207" s="17"/>
      <c r="K207" s="17"/>
    </row>
    <row r="208" spans="5:11" x14ac:dyDescent="0.2">
      <c r="E208" s="10"/>
      <c r="F208" s="53"/>
      <c r="G208" s="9"/>
      <c r="J208" s="17"/>
      <c r="K208" s="17"/>
    </row>
    <row r="209" spans="5:11" x14ac:dyDescent="0.2">
      <c r="E209" s="10"/>
      <c r="F209" s="53"/>
      <c r="G209" s="9"/>
      <c r="J209" s="17"/>
      <c r="K209" s="17"/>
    </row>
    <row r="210" spans="5:11" x14ac:dyDescent="0.2">
      <c r="E210" s="10"/>
      <c r="F210" s="53"/>
      <c r="G210" s="9"/>
      <c r="J210" s="17"/>
      <c r="K210" s="17"/>
    </row>
    <row r="211" spans="5:11" x14ac:dyDescent="0.2">
      <c r="E211" s="10"/>
      <c r="F211" s="53"/>
      <c r="G211" s="9"/>
      <c r="J211" s="17"/>
      <c r="K211" s="17"/>
    </row>
    <row r="212" spans="5:11" x14ac:dyDescent="0.2">
      <c r="E212" s="10"/>
      <c r="F212" s="53"/>
      <c r="G212" s="9"/>
      <c r="J212" s="17"/>
      <c r="K212" s="17"/>
    </row>
    <row r="213" spans="5:11" x14ac:dyDescent="0.2">
      <c r="E213" s="10"/>
      <c r="F213" s="53"/>
      <c r="G213" s="9"/>
      <c r="J213" s="17"/>
      <c r="K213" s="17"/>
    </row>
    <row r="214" spans="5:11" x14ac:dyDescent="0.2">
      <c r="E214" s="10"/>
      <c r="F214" s="53"/>
      <c r="G214" s="9"/>
      <c r="J214" s="17"/>
      <c r="K214" s="17"/>
    </row>
    <row r="215" spans="5:11" x14ac:dyDescent="0.2">
      <c r="E215" s="10"/>
      <c r="F215" s="53"/>
      <c r="G215" s="9"/>
      <c r="J215" s="17"/>
      <c r="K215" s="17"/>
    </row>
    <row r="216" spans="5:11" x14ac:dyDescent="0.2">
      <c r="E216" s="10"/>
      <c r="F216" s="53"/>
      <c r="G216" s="9"/>
      <c r="J216" s="17"/>
      <c r="K216" s="17"/>
    </row>
    <row r="217" spans="5:11" x14ac:dyDescent="0.2">
      <c r="E217" s="10"/>
      <c r="F217" s="53"/>
      <c r="G217" s="9"/>
      <c r="J217" s="17"/>
      <c r="K217" s="17"/>
    </row>
    <row r="218" spans="5:11" x14ac:dyDescent="0.2">
      <c r="E218" s="10"/>
      <c r="F218" s="53"/>
      <c r="G218" s="9"/>
      <c r="J218" s="17"/>
      <c r="K218" s="17"/>
    </row>
    <row r="219" spans="5:11" x14ac:dyDescent="0.2">
      <c r="E219" s="10"/>
      <c r="F219" s="53"/>
      <c r="G219" s="9"/>
      <c r="J219" s="17"/>
      <c r="K219" s="17"/>
    </row>
    <row r="220" spans="5:11" x14ac:dyDescent="0.2">
      <c r="E220" s="10"/>
      <c r="F220" s="53"/>
      <c r="G220" s="9"/>
      <c r="J220" s="17"/>
      <c r="K220" s="17"/>
    </row>
    <row r="221" spans="5:11" x14ac:dyDescent="0.2">
      <c r="E221" s="10"/>
      <c r="F221" s="53"/>
      <c r="G221" s="9"/>
      <c r="J221" s="17"/>
      <c r="K221" s="17"/>
    </row>
    <row r="222" spans="5:11" x14ac:dyDescent="0.2">
      <c r="E222" s="10"/>
      <c r="F222" s="53"/>
      <c r="G222" s="9"/>
      <c r="J222" s="17"/>
      <c r="K222" s="17"/>
    </row>
    <row r="223" spans="5:11" x14ac:dyDescent="0.2">
      <c r="E223" s="10"/>
      <c r="F223" s="53"/>
      <c r="G223" s="9"/>
      <c r="J223" s="17"/>
      <c r="K223" s="17"/>
    </row>
    <row r="224" spans="5:11" x14ac:dyDescent="0.2">
      <c r="E224" s="10"/>
      <c r="F224" s="53"/>
      <c r="G224" s="9"/>
      <c r="J224" s="17"/>
      <c r="K224" s="17"/>
    </row>
    <row r="225" spans="5:11" x14ac:dyDescent="0.2">
      <c r="E225" s="10"/>
      <c r="F225" s="53"/>
      <c r="G225" s="9"/>
      <c r="J225" s="17"/>
      <c r="K225" s="17"/>
    </row>
    <row r="226" spans="5:11" x14ac:dyDescent="0.2">
      <c r="E226" s="10"/>
      <c r="F226" s="53"/>
      <c r="G226" s="9"/>
      <c r="J226" s="17"/>
      <c r="K226" s="17"/>
    </row>
    <row r="227" spans="5:11" x14ac:dyDescent="0.2">
      <c r="E227" s="10"/>
      <c r="F227" s="53"/>
      <c r="G227" s="9"/>
      <c r="J227" s="17"/>
      <c r="K227" s="17"/>
    </row>
    <row r="228" spans="5:11" x14ac:dyDescent="0.2">
      <c r="E228" s="10"/>
      <c r="F228" s="53"/>
      <c r="G228" s="9"/>
      <c r="J228" s="17"/>
      <c r="K228" s="17"/>
    </row>
    <row r="229" spans="5:11" x14ac:dyDescent="0.2">
      <c r="E229" s="10"/>
      <c r="F229" s="53"/>
      <c r="G229" s="9"/>
      <c r="J229" s="17"/>
      <c r="K229" s="17"/>
    </row>
    <row r="230" spans="5:11" x14ac:dyDescent="0.2">
      <c r="E230" s="10"/>
      <c r="F230" s="53"/>
      <c r="G230" s="9"/>
      <c r="J230" s="17"/>
      <c r="K230" s="17"/>
    </row>
    <row r="231" spans="5:11" x14ac:dyDescent="0.2">
      <c r="E231" s="10"/>
      <c r="F231" s="53"/>
      <c r="G231" s="9"/>
      <c r="J231" s="17"/>
      <c r="K231" s="17"/>
    </row>
    <row r="232" spans="5:11" x14ac:dyDescent="0.2">
      <c r="E232" s="10"/>
      <c r="F232" s="53"/>
      <c r="G232" s="9"/>
      <c r="J232" s="17"/>
      <c r="K232" s="17"/>
    </row>
    <row r="233" spans="5:11" x14ac:dyDescent="0.2">
      <c r="E233" s="10"/>
      <c r="F233" s="53"/>
      <c r="G233" s="9"/>
      <c r="J233" s="17"/>
      <c r="K233" s="17"/>
    </row>
    <row r="234" spans="5:11" x14ac:dyDescent="0.2">
      <c r="E234" s="10"/>
      <c r="F234" s="53"/>
      <c r="G234" s="9"/>
      <c r="J234" s="17"/>
      <c r="K234" s="17"/>
    </row>
    <row r="235" spans="5:11" x14ac:dyDescent="0.2">
      <c r="E235" s="10"/>
      <c r="F235" s="53"/>
      <c r="G235" s="9"/>
      <c r="J235" s="17"/>
      <c r="K235" s="17"/>
    </row>
    <row r="236" spans="5:11" x14ac:dyDescent="0.2">
      <c r="E236" s="10"/>
      <c r="F236" s="53"/>
      <c r="G236" s="9"/>
      <c r="J236" s="17"/>
      <c r="K236" s="17"/>
    </row>
    <row r="237" spans="5:11" x14ac:dyDescent="0.2">
      <c r="E237" s="10"/>
      <c r="F237" s="53"/>
      <c r="G237" s="9"/>
      <c r="J237" s="17"/>
      <c r="K237" s="17"/>
    </row>
    <row r="238" spans="5:11" x14ac:dyDescent="0.2">
      <c r="E238" s="10"/>
      <c r="F238" s="53"/>
      <c r="G238" s="9"/>
      <c r="J238" s="17"/>
      <c r="K238" s="17"/>
    </row>
    <row r="239" spans="5:11" x14ac:dyDescent="0.2">
      <c r="E239" s="10"/>
      <c r="F239" s="53"/>
      <c r="G239" s="9"/>
      <c r="J239" s="17"/>
      <c r="K239" s="17"/>
    </row>
    <row r="240" spans="5:11" x14ac:dyDescent="0.2">
      <c r="E240" s="10"/>
      <c r="F240" s="53"/>
      <c r="G240" s="9"/>
      <c r="J240" s="17"/>
      <c r="K240" s="17"/>
    </row>
    <row r="241" spans="5:11" x14ac:dyDescent="0.2">
      <c r="E241" s="10"/>
      <c r="F241" s="53"/>
      <c r="G241" s="9"/>
      <c r="J241" s="17"/>
      <c r="K241" s="17"/>
    </row>
    <row r="242" spans="5:11" x14ac:dyDescent="0.2">
      <c r="E242" s="10"/>
      <c r="F242" s="53"/>
      <c r="G242" s="9"/>
      <c r="J242" s="17"/>
      <c r="K242" s="17"/>
    </row>
    <row r="243" spans="5:11" x14ac:dyDescent="0.2">
      <c r="E243" s="10"/>
      <c r="F243" s="53"/>
      <c r="G243" s="9"/>
      <c r="J243" s="17"/>
      <c r="K243" s="17"/>
    </row>
    <row r="244" spans="5:11" x14ac:dyDescent="0.2">
      <c r="E244" s="10"/>
      <c r="F244" s="53"/>
      <c r="G244" s="9"/>
      <c r="J244" s="17"/>
      <c r="K244" s="17"/>
    </row>
    <row r="245" spans="5:11" x14ac:dyDescent="0.2">
      <c r="E245" s="10"/>
      <c r="F245" s="53"/>
      <c r="G245" s="9"/>
      <c r="J245" s="17"/>
      <c r="K245" s="17"/>
    </row>
    <row r="246" spans="5:11" x14ac:dyDescent="0.2">
      <c r="E246" s="10"/>
      <c r="F246" s="53"/>
      <c r="G246" s="9"/>
      <c r="J246" s="17"/>
      <c r="K246" s="17"/>
    </row>
    <row r="247" spans="5:11" x14ac:dyDescent="0.2">
      <c r="E247" s="10"/>
      <c r="F247" s="53"/>
      <c r="G247" s="9"/>
      <c r="J247" s="17"/>
      <c r="K247" s="17"/>
    </row>
    <row r="248" spans="5:11" x14ac:dyDescent="0.2">
      <c r="E248" s="10"/>
      <c r="F248" s="53"/>
      <c r="G248" s="9"/>
      <c r="J248" s="17"/>
      <c r="K248" s="17"/>
    </row>
    <row r="249" spans="5:11" x14ac:dyDescent="0.2">
      <c r="E249" s="10"/>
      <c r="F249" s="53"/>
      <c r="G249" s="9"/>
      <c r="J249" s="17"/>
      <c r="K249" s="17"/>
    </row>
    <row r="250" spans="5:11" x14ac:dyDescent="0.2">
      <c r="E250" s="10"/>
      <c r="F250" s="53"/>
      <c r="G250" s="9"/>
      <c r="J250" s="17"/>
      <c r="K250" s="17"/>
    </row>
    <row r="251" spans="5:11" x14ac:dyDescent="0.2">
      <c r="E251" s="10"/>
      <c r="F251" s="53"/>
      <c r="G251" s="9"/>
      <c r="J251" s="17"/>
      <c r="K251" s="17"/>
    </row>
    <row r="252" spans="5:11" x14ac:dyDescent="0.2">
      <c r="E252" s="10"/>
      <c r="F252" s="53"/>
      <c r="G252" s="9"/>
      <c r="J252" s="17"/>
      <c r="K252" s="17"/>
    </row>
    <row r="253" spans="5:11" x14ac:dyDescent="0.2">
      <c r="E253" s="10"/>
      <c r="F253" s="53"/>
      <c r="G253" s="9"/>
      <c r="J253" s="17"/>
      <c r="K253" s="17"/>
    </row>
    <row r="254" spans="5:11" x14ac:dyDescent="0.2">
      <c r="E254" s="10"/>
      <c r="F254" s="53"/>
      <c r="G254" s="9"/>
      <c r="J254" s="17"/>
      <c r="K254" s="17"/>
    </row>
    <row r="255" spans="5:11" x14ac:dyDescent="0.2">
      <c r="E255" s="10"/>
      <c r="F255" s="53"/>
      <c r="G255" s="9"/>
      <c r="J255" s="17"/>
      <c r="K255" s="17"/>
    </row>
    <row r="256" spans="5:11" x14ac:dyDescent="0.2">
      <c r="E256" s="10"/>
      <c r="F256" s="53"/>
      <c r="G256" s="9"/>
      <c r="J256" s="17"/>
      <c r="K256" s="17"/>
    </row>
    <row r="257" spans="5:11" x14ac:dyDescent="0.2">
      <c r="E257" s="10"/>
      <c r="F257" s="53"/>
      <c r="G257" s="9"/>
      <c r="J257" s="17"/>
      <c r="K257" s="17"/>
    </row>
    <row r="258" spans="5:11" x14ac:dyDescent="0.2">
      <c r="E258" s="10"/>
      <c r="F258" s="53"/>
      <c r="G258" s="9"/>
      <c r="J258" s="17"/>
      <c r="K258" s="17"/>
    </row>
    <row r="259" spans="5:11" x14ac:dyDescent="0.2">
      <c r="E259" s="10"/>
      <c r="F259" s="53"/>
      <c r="G259" s="9"/>
      <c r="J259" s="17"/>
      <c r="K259" s="17"/>
    </row>
    <row r="260" spans="5:11" x14ac:dyDescent="0.2">
      <c r="E260" s="10"/>
      <c r="F260" s="53"/>
      <c r="G260" s="9"/>
      <c r="J260" s="17"/>
      <c r="K260" s="17"/>
    </row>
    <row r="261" spans="5:11" x14ac:dyDescent="0.2">
      <c r="E261" s="10"/>
      <c r="F261" s="53"/>
      <c r="G261" s="9"/>
      <c r="J261" s="17"/>
      <c r="K261" s="17"/>
    </row>
    <row r="262" spans="5:11" x14ac:dyDescent="0.2">
      <c r="E262" s="10"/>
      <c r="F262" s="53"/>
      <c r="G262" s="9"/>
      <c r="J262" s="17"/>
      <c r="K262" s="17"/>
    </row>
    <row r="263" spans="5:11" x14ac:dyDescent="0.2">
      <c r="E263" s="10"/>
      <c r="F263" s="53"/>
      <c r="G263" s="9"/>
      <c r="J263" s="17"/>
      <c r="K263" s="17"/>
    </row>
    <row r="264" spans="5:11" x14ac:dyDescent="0.2">
      <c r="E264" s="10"/>
      <c r="F264" s="53"/>
      <c r="G264" s="9"/>
      <c r="J264" s="17"/>
      <c r="K264" s="17"/>
    </row>
    <row r="265" spans="5:11" x14ac:dyDescent="0.2">
      <c r="E265" s="10"/>
      <c r="F265" s="53"/>
      <c r="G265" s="9"/>
      <c r="J265" s="17"/>
      <c r="K265" s="17"/>
    </row>
    <row r="266" spans="5:11" x14ac:dyDescent="0.2">
      <c r="E266" s="10"/>
      <c r="F266" s="53"/>
      <c r="G266" s="9"/>
      <c r="J266" s="17"/>
      <c r="K266" s="17"/>
    </row>
    <row r="267" spans="5:11" x14ac:dyDescent="0.2">
      <c r="E267" s="10"/>
      <c r="F267" s="53"/>
      <c r="G267" s="9"/>
      <c r="J267" s="17"/>
      <c r="K267" s="17"/>
    </row>
    <row r="268" spans="5:11" x14ac:dyDescent="0.2">
      <c r="E268" s="10"/>
      <c r="F268" s="53"/>
      <c r="G268" s="9"/>
      <c r="J268" s="17"/>
      <c r="K268" s="17"/>
    </row>
    <row r="269" spans="5:11" x14ac:dyDescent="0.2">
      <c r="E269" s="10"/>
      <c r="F269" s="53"/>
      <c r="G269" s="9"/>
      <c r="J269" s="17"/>
      <c r="K269" s="17"/>
    </row>
    <row r="270" spans="5:11" x14ac:dyDescent="0.2">
      <c r="E270" s="10"/>
      <c r="F270" s="53"/>
      <c r="G270" s="9"/>
      <c r="J270" s="17"/>
      <c r="K270" s="17"/>
    </row>
    <row r="271" spans="5:11" x14ac:dyDescent="0.2">
      <c r="E271" s="10"/>
      <c r="F271" s="53"/>
      <c r="G271" s="9"/>
      <c r="J271" s="17"/>
      <c r="K271" s="17"/>
    </row>
    <row r="272" spans="5:11" x14ac:dyDescent="0.2">
      <c r="E272" s="10"/>
      <c r="F272" s="53"/>
      <c r="G272" s="9"/>
      <c r="J272" s="17"/>
      <c r="K272" s="17"/>
    </row>
    <row r="273" spans="5:11" x14ac:dyDescent="0.2">
      <c r="E273" s="10"/>
      <c r="F273" s="53"/>
      <c r="G273" s="9"/>
      <c r="J273" s="17"/>
      <c r="K273" s="17"/>
    </row>
    <row r="274" spans="5:11" x14ac:dyDescent="0.2">
      <c r="E274" s="10"/>
      <c r="F274" s="53"/>
      <c r="G274" s="9"/>
      <c r="J274" s="17"/>
      <c r="K274" s="17"/>
    </row>
    <row r="275" spans="5:11" x14ac:dyDescent="0.2">
      <c r="E275" s="10"/>
      <c r="F275" s="53"/>
      <c r="G275" s="9"/>
      <c r="J275" s="17"/>
      <c r="K275" s="17"/>
    </row>
    <row r="276" spans="5:11" x14ac:dyDescent="0.2">
      <c r="E276" s="10"/>
      <c r="F276" s="53"/>
      <c r="G276" s="9"/>
      <c r="J276" s="17"/>
      <c r="K276" s="17"/>
    </row>
    <row r="277" spans="5:11" x14ac:dyDescent="0.2">
      <c r="E277" s="10"/>
      <c r="F277" s="53"/>
      <c r="G277" s="9"/>
      <c r="J277" s="17"/>
      <c r="K277" s="17"/>
    </row>
    <row r="278" spans="5:11" x14ac:dyDescent="0.2">
      <c r="E278" s="10"/>
      <c r="F278" s="53"/>
      <c r="G278" s="9"/>
      <c r="J278" s="17"/>
      <c r="K278" s="17"/>
    </row>
    <row r="279" spans="5:11" x14ac:dyDescent="0.2">
      <c r="E279" s="10"/>
      <c r="F279" s="53"/>
      <c r="G279" s="9"/>
      <c r="J279" s="17"/>
      <c r="K279" s="17"/>
    </row>
    <row r="280" spans="5:11" x14ac:dyDescent="0.2">
      <c r="E280" s="10"/>
      <c r="F280" s="53"/>
      <c r="G280" s="9"/>
      <c r="J280" s="17"/>
      <c r="K280" s="17"/>
    </row>
    <row r="281" spans="5:11" x14ac:dyDescent="0.2">
      <c r="E281" s="10"/>
      <c r="F281" s="53"/>
      <c r="G281" s="9"/>
      <c r="J281" s="17"/>
      <c r="K281" s="17"/>
    </row>
    <row r="282" spans="5:11" x14ac:dyDescent="0.2">
      <c r="E282" s="10"/>
      <c r="F282" s="53"/>
      <c r="G282" s="9"/>
      <c r="J282" s="17"/>
      <c r="K282" s="17"/>
    </row>
    <row r="283" spans="5:11" x14ac:dyDescent="0.2">
      <c r="E283" s="10"/>
      <c r="F283" s="53"/>
      <c r="G283" s="9"/>
      <c r="J283" s="17"/>
      <c r="K283" s="17"/>
    </row>
    <row r="284" spans="5:11" x14ac:dyDescent="0.2">
      <c r="E284" s="10"/>
      <c r="F284" s="53"/>
      <c r="G284" s="9"/>
      <c r="J284" s="17"/>
      <c r="K284" s="17"/>
    </row>
    <row r="285" spans="5:11" x14ac:dyDescent="0.2">
      <c r="E285" s="10"/>
      <c r="F285" s="53"/>
      <c r="G285" s="9"/>
      <c r="J285" s="17"/>
      <c r="K285" s="17"/>
    </row>
    <row r="286" spans="5:11" x14ac:dyDescent="0.2">
      <c r="E286" s="10"/>
      <c r="F286" s="53"/>
      <c r="G286" s="9"/>
      <c r="J286" s="17"/>
      <c r="K286" s="17"/>
    </row>
    <row r="287" spans="5:11" x14ac:dyDescent="0.2">
      <c r="E287" s="10"/>
      <c r="F287" s="53"/>
      <c r="G287" s="9"/>
      <c r="J287" s="17"/>
      <c r="K287" s="17"/>
    </row>
    <row r="288" spans="5:11" x14ac:dyDescent="0.2">
      <c r="E288" s="10"/>
      <c r="F288" s="53"/>
      <c r="G288" s="9"/>
      <c r="J288" s="17"/>
      <c r="K288" s="17"/>
    </row>
    <row r="289" spans="5:11" x14ac:dyDescent="0.2">
      <c r="E289" s="10"/>
      <c r="F289" s="53"/>
      <c r="G289" s="9"/>
      <c r="J289" s="17"/>
      <c r="K289" s="17"/>
    </row>
    <row r="290" spans="5:11" x14ac:dyDescent="0.2">
      <c r="E290" s="10"/>
      <c r="F290" s="53"/>
      <c r="G290" s="9"/>
      <c r="J290" s="17"/>
      <c r="K290" s="17"/>
    </row>
    <row r="291" spans="5:11" x14ac:dyDescent="0.2">
      <c r="E291" s="10"/>
      <c r="F291" s="53"/>
      <c r="G291" s="9"/>
      <c r="J291" s="17"/>
      <c r="K291" s="17"/>
    </row>
    <row r="292" spans="5:11" x14ac:dyDescent="0.2">
      <c r="E292" s="10"/>
      <c r="F292" s="53"/>
      <c r="G292" s="9"/>
      <c r="J292" s="17"/>
      <c r="K292" s="17"/>
    </row>
    <row r="293" spans="5:11" x14ac:dyDescent="0.2">
      <c r="E293" s="10"/>
      <c r="F293" s="53"/>
      <c r="G293" s="9"/>
      <c r="J293" s="17"/>
      <c r="K293" s="17"/>
    </row>
    <row r="294" spans="5:11" x14ac:dyDescent="0.2">
      <c r="E294" s="10"/>
      <c r="F294" s="53"/>
      <c r="G294" s="9"/>
      <c r="J294" s="17"/>
      <c r="K294" s="17"/>
    </row>
    <row r="295" spans="5:11" x14ac:dyDescent="0.2">
      <c r="E295" s="10"/>
      <c r="F295" s="53"/>
      <c r="G295" s="9"/>
      <c r="J295" s="17"/>
      <c r="K295" s="17"/>
    </row>
    <row r="296" spans="5:11" x14ac:dyDescent="0.2">
      <c r="E296" s="10"/>
      <c r="F296" s="53"/>
      <c r="G296" s="9"/>
      <c r="J296" s="17"/>
      <c r="K296" s="17"/>
    </row>
    <row r="297" spans="5:11" x14ac:dyDescent="0.2">
      <c r="E297" s="10"/>
      <c r="F297" s="53"/>
      <c r="G297" s="9"/>
      <c r="J297" s="17"/>
      <c r="K297" s="17"/>
    </row>
    <row r="298" spans="5:11" x14ac:dyDescent="0.2">
      <c r="E298" s="10"/>
      <c r="F298" s="53"/>
      <c r="G298" s="9"/>
      <c r="J298" s="17"/>
      <c r="K298" s="17"/>
    </row>
    <row r="299" spans="5:11" x14ac:dyDescent="0.2">
      <c r="E299" s="10"/>
      <c r="F299" s="53"/>
      <c r="G299" s="9"/>
      <c r="J299" s="17"/>
      <c r="K299" s="17"/>
    </row>
    <row r="300" spans="5:11" x14ac:dyDescent="0.2">
      <c r="E300" s="10"/>
      <c r="F300" s="53"/>
      <c r="G300" s="9"/>
      <c r="J300" s="17"/>
      <c r="K300" s="17"/>
    </row>
    <row r="301" spans="5:11" x14ac:dyDescent="0.2">
      <c r="E301" s="10"/>
      <c r="F301" s="53"/>
      <c r="G301" s="9"/>
      <c r="J301" s="17"/>
      <c r="K301" s="17"/>
    </row>
    <row r="302" spans="5:11" x14ac:dyDescent="0.2">
      <c r="E302" s="10"/>
      <c r="F302" s="53"/>
      <c r="G302" s="9"/>
      <c r="J302" s="17"/>
      <c r="K302" s="17"/>
    </row>
    <row r="303" spans="5:11" x14ac:dyDescent="0.2">
      <c r="E303" s="10"/>
      <c r="F303" s="53"/>
      <c r="G303" s="9"/>
      <c r="J303" s="17"/>
      <c r="K303" s="17"/>
    </row>
    <row r="304" spans="5:11" x14ac:dyDescent="0.2">
      <c r="E304" s="10"/>
      <c r="F304" s="53"/>
      <c r="G304" s="9"/>
      <c r="J304" s="17"/>
      <c r="K304" s="17"/>
    </row>
    <row r="305" spans="5:11" x14ac:dyDescent="0.2">
      <c r="E305" s="10"/>
      <c r="F305" s="53"/>
      <c r="G305" s="9"/>
      <c r="J305" s="17"/>
      <c r="K305" s="17"/>
    </row>
    <row r="306" spans="5:11" x14ac:dyDescent="0.2">
      <c r="E306" s="10"/>
      <c r="F306" s="53"/>
      <c r="G306" s="9"/>
      <c r="J306" s="17"/>
      <c r="K306" s="17"/>
    </row>
    <row r="307" spans="5:11" x14ac:dyDescent="0.2">
      <c r="E307" s="10"/>
      <c r="F307" s="53"/>
      <c r="G307" s="9"/>
      <c r="J307" s="17"/>
      <c r="K307" s="17"/>
    </row>
    <row r="308" spans="5:11" x14ac:dyDescent="0.2">
      <c r="E308" s="10"/>
      <c r="F308" s="53"/>
      <c r="G308" s="9"/>
      <c r="J308" s="17"/>
      <c r="K308" s="17"/>
    </row>
    <row r="309" spans="5:11" x14ac:dyDescent="0.2">
      <c r="E309" s="10"/>
      <c r="F309" s="53"/>
      <c r="G309" s="9"/>
      <c r="J309" s="17"/>
      <c r="K309" s="17"/>
    </row>
    <row r="310" spans="5:11" x14ac:dyDescent="0.2">
      <c r="E310" s="10"/>
      <c r="F310" s="53"/>
      <c r="G310" s="9"/>
      <c r="J310" s="17"/>
      <c r="K310" s="17"/>
    </row>
    <row r="311" spans="5:11" x14ac:dyDescent="0.2">
      <c r="E311" s="10"/>
      <c r="F311" s="53"/>
      <c r="G311" s="9"/>
      <c r="J311" s="17"/>
      <c r="K311" s="17"/>
    </row>
    <row r="312" spans="5:11" x14ac:dyDescent="0.2">
      <c r="E312" s="10"/>
      <c r="F312" s="53"/>
      <c r="G312" s="9"/>
      <c r="J312" s="17"/>
      <c r="K312" s="17"/>
    </row>
    <row r="313" spans="5:11" x14ac:dyDescent="0.2">
      <c r="E313" s="10"/>
      <c r="F313" s="53"/>
      <c r="G313" s="9"/>
      <c r="J313" s="17"/>
      <c r="K313" s="17"/>
    </row>
    <row r="314" spans="5:11" x14ac:dyDescent="0.2">
      <c r="E314" s="10"/>
      <c r="F314" s="53"/>
      <c r="G314" s="9"/>
      <c r="J314" s="17"/>
      <c r="K314" s="17"/>
    </row>
    <row r="315" spans="5:11" x14ac:dyDescent="0.2">
      <c r="E315" s="10"/>
      <c r="F315" s="53"/>
      <c r="G315" s="9"/>
      <c r="J315" s="17"/>
      <c r="K315" s="17"/>
    </row>
    <row r="316" spans="5:11" x14ac:dyDescent="0.2">
      <c r="E316" s="10"/>
      <c r="F316" s="53"/>
      <c r="G316" s="9"/>
      <c r="J316" s="17"/>
      <c r="K316" s="17"/>
    </row>
    <row r="317" spans="5:11" x14ac:dyDescent="0.2">
      <c r="E317" s="10"/>
      <c r="F317" s="53"/>
      <c r="G317" s="9"/>
      <c r="J317" s="17"/>
      <c r="K317" s="17"/>
    </row>
    <row r="318" spans="5:11" x14ac:dyDescent="0.2">
      <c r="E318" s="10"/>
      <c r="F318" s="53"/>
      <c r="G318" s="9"/>
      <c r="J318" s="17"/>
      <c r="K318" s="17"/>
    </row>
    <row r="319" spans="5:11" x14ac:dyDescent="0.2">
      <c r="E319" s="10"/>
      <c r="F319" s="53"/>
      <c r="G319" s="9"/>
      <c r="J319" s="17"/>
      <c r="K319" s="17"/>
    </row>
    <row r="320" spans="5:11" x14ac:dyDescent="0.2">
      <c r="E320" s="10"/>
      <c r="F320" s="53"/>
      <c r="G320" s="9"/>
      <c r="J320" s="17"/>
      <c r="K320" s="17"/>
    </row>
    <row r="321" spans="5:11" x14ac:dyDescent="0.2">
      <c r="E321" s="10"/>
      <c r="F321" s="53"/>
      <c r="G321" s="9"/>
      <c r="J321" s="17"/>
      <c r="K321" s="17"/>
    </row>
    <row r="322" spans="5:11" x14ac:dyDescent="0.2">
      <c r="E322" s="10"/>
      <c r="F322" s="53"/>
      <c r="G322" s="9"/>
      <c r="J322" s="17"/>
      <c r="K322" s="17"/>
    </row>
    <row r="323" spans="5:11" x14ac:dyDescent="0.2">
      <c r="E323" s="10"/>
      <c r="F323" s="53"/>
      <c r="G323" s="9"/>
      <c r="J323" s="17"/>
      <c r="K323" s="17"/>
    </row>
    <row r="324" spans="5:11" x14ac:dyDescent="0.2">
      <c r="E324" s="10"/>
      <c r="F324" s="53"/>
      <c r="G324" s="9"/>
      <c r="J324" s="17"/>
      <c r="K324" s="17"/>
    </row>
    <row r="325" spans="5:11" x14ac:dyDescent="0.2">
      <c r="E325" s="10"/>
      <c r="F325" s="53"/>
      <c r="G325" s="9"/>
      <c r="J325" s="17"/>
      <c r="K325" s="17"/>
    </row>
    <row r="326" spans="5:11" x14ac:dyDescent="0.2">
      <c r="E326" s="10"/>
      <c r="F326" s="53"/>
      <c r="G326" s="9"/>
      <c r="J326" s="17"/>
      <c r="K326" s="17"/>
    </row>
    <row r="327" spans="5:11" x14ac:dyDescent="0.2">
      <c r="E327" s="10"/>
      <c r="F327" s="53"/>
      <c r="G327" s="9"/>
      <c r="J327" s="17"/>
      <c r="K327" s="17"/>
    </row>
    <row r="328" spans="5:11" x14ac:dyDescent="0.2">
      <c r="E328" s="10"/>
      <c r="F328" s="53"/>
      <c r="G328" s="9"/>
      <c r="J328" s="17"/>
      <c r="K328" s="17"/>
    </row>
    <row r="329" spans="5:11" x14ac:dyDescent="0.2">
      <c r="E329" s="10"/>
      <c r="F329" s="53"/>
      <c r="G329" s="9"/>
      <c r="J329" s="17"/>
      <c r="K329" s="17"/>
    </row>
    <row r="330" spans="5:11" x14ac:dyDescent="0.2">
      <c r="E330" s="10"/>
      <c r="F330" s="53"/>
      <c r="G330" s="9"/>
      <c r="J330" s="17"/>
      <c r="K330" s="17"/>
    </row>
    <row r="331" spans="5:11" x14ac:dyDescent="0.2">
      <c r="E331" s="10"/>
      <c r="F331" s="53"/>
      <c r="G331" s="9"/>
      <c r="J331" s="17"/>
      <c r="K331" s="17"/>
    </row>
    <row r="332" spans="5:11" x14ac:dyDescent="0.2">
      <c r="E332" s="10"/>
      <c r="F332" s="53"/>
      <c r="G332" s="9"/>
      <c r="J332" s="17"/>
      <c r="K332" s="17"/>
    </row>
    <row r="333" spans="5:11" x14ac:dyDescent="0.2">
      <c r="E333" s="10"/>
      <c r="F333" s="53"/>
      <c r="G333" s="9"/>
      <c r="J333" s="17"/>
      <c r="K333" s="17"/>
    </row>
    <row r="334" spans="5:11" x14ac:dyDescent="0.2">
      <c r="E334" s="10"/>
      <c r="F334" s="53"/>
      <c r="G334" s="9"/>
      <c r="J334" s="17"/>
      <c r="K334" s="17"/>
    </row>
    <row r="335" spans="5:11" x14ac:dyDescent="0.2">
      <c r="E335" s="10"/>
      <c r="F335" s="53"/>
      <c r="G335" s="9"/>
      <c r="J335" s="17"/>
      <c r="K335" s="17"/>
    </row>
    <row r="336" spans="5:11" x14ac:dyDescent="0.2">
      <c r="E336" s="10"/>
      <c r="F336" s="53"/>
      <c r="G336" s="9"/>
      <c r="J336" s="17"/>
      <c r="K336" s="17"/>
    </row>
    <row r="337" spans="5:11" x14ac:dyDescent="0.2">
      <c r="E337" s="10"/>
      <c r="F337" s="53"/>
      <c r="G337" s="9"/>
      <c r="J337" s="17"/>
      <c r="K337" s="17"/>
    </row>
    <row r="338" spans="5:11" x14ac:dyDescent="0.2">
      <c r="E338" s="10"/>
      <c r="F338" s="53"/>
      <c r="G338" s="9"/>
      <c r="J338" s="17"/>
      <c r="K338" s="17"/>
    </row>
    <row r="339" spans="5:11" x14ac:dyDescent="0.2">
      <c r="E339" s="10"/>
      <c r="F339" s="53"/>
      <c r="G339" s="9"/>
      <c r="J339" s="17"/>
      <c r="K339" s="17"/>
    </row>
    <row r="340" spans="5:11" x14ac:dyDescent="0.2">
      <c r="E340" s="10"/>
      <c r="F340" s="53"/>
      <c r="G340" s="9"/>
      <c r="J340" s="17"/>
      <c r="K340" s="17"/>
    </row>
    <row r="341" spans="5:11" x14ac:dyDescent="0.2">
      <c r="E341" s="10"/>
      <c r="F341" s="53"/>
      <c r="G341" s="9"/>
      <c r="J341" s="17"/>
      <c r="K341" s="17"/>
    </row>
    <row r="342" spans="5:11" x14ac:dyDescent="0.2">
      <c r="E342" s="10"/>
      <c r="F342" s="53"/>
      <c r="G342" s="9"/>
      <c r="J342" s="17"/>
      <c r="K342" s="17"/>
    </row>
    <row r="343" spans="5:11" x14ac:dyDescent="0.2">
      <c r="E343" s="10"/>
      <c r="F343" s="53"/>
      <c r="G343" s="9"/>
      <c r="J343" s="17"/>
      <c r="K343" s="17"/>
    </row>
    <row r="344" spans="5:11" x14ac:dyDescent="0.2">
      <c r="E344" s="10"/>
      <c r="F344" s="53"/>
      <c r="G344" s="9"/>
      <c r="J344" s="17"/>
      <c r="K344" s="17"/>
    </row>
    <row r="345" spans="5:11" x14ac:dyDescent="0.2">
      <c r="E345" s="10"/>
      <c r="F345" s="53"/>
      <c r="G345" s="9"/>
      <c r="J345" s="17"/>
      <c r="K345" s="17"/>
    </row>
    <row r="346" spans="5:11" x14ac:dyDescent="0.2">
      <c r="E346" s="10"/>
      <c r="F346" s="53"/>
      <c r="G346" s="9"/>
      <c r="J346" s="17"/>
      <c r="K346" s="17"/>
    </row>
    <row r="347" spans="5:11" x14ac:dyDescent="0.2">
      <c r="E347" s="10"/>
      <c r="F347" s="53"/>
      <c r="G347" s="9"/>
      <c r="J347" s="17"/>
      <c r="K347" s="17"/>
    </row>
    <row r="348" spans="5:11" x14ac:dyDescent="0.2">
      <c r="E348" s="10"/>
      <c r="F348" s="53"/>
      <c r="G348" s="9"/>
      <c r="J348" s="17"/>
      <c r="K348" s="17"/>
    </row>
    <row r="349" spans="5:11" x14ac:dyDescent="0.2">
      <c r="E349" s="10"/>
      <c r="F349" s="53"/>
      <c r="G349" s="9"/>
      <c r="J349" s="17"/>
      <c r="K349" s="17"/>
    </row>
    <row r="350" spans="5:11" x14ac:dyDescent="0.2">
      <c r="E350" s="10"/>
      <c r="F350" s="53"/>
      <c r="G350" s="9"/>
      <c r="J350" s="17"/>
      <c r="K350" s="17"/>
    </row>
    <row r="351" spans="5:11" x14ac:dyDescent="0.2">
      <c r="E351" s="10"/>
      <c r="F351" s="53"/>
      <c r="G351" s="9"/>
      <c r="J351" s="17"/>
      <c r="K351" s="17"/>
    </row>
    <row r="352" spans="5:11" x14ac:dyDescent="0.2">
      <c r="E352" s="10"/>
      <c r="F352" s="53"/>
      <c r="G352" s="9"/>
      <c r="J352" s="17"/>
      <c r="K352" s="17"/>
    </row>
    <row r="353" spans="5:11" x14ac:dyDescent="0.2">
      <c r="E353" s="10"/>
      <c r="F353" s="53"/>
      <c r="G353" s="9"/>
      <c r="J353" s="17"/>
      <c r="K353" s="17"/>
    </row>
    <row r="354" spans="5:11" x14ac:dyDescent="0.2">
      <c r="E354" s="10"/>
      <c r="F354" s="53"/>
      <c r="G354" s="9"/>
      <c r="J354" s="17"/>
      <c r="K354" s="17"/>
    </row>
    <row r="355" spans="5:11" x14ac:dyDescent="0.2">
      <c r="E355" s="10"/>
      <c r="F355" s="53"/>
      <c r="G355" s="9"/>
      <c r="J355" s="17"/>
      <c r="K355" s="17"/>
    </row>
    <row r="356" spans="5:11" x14ac:dyDescent="0.2">
      <c r="E356" s="10"/>
      <c r="F356" s="53"/>
      <c r="G356" s="9"/>
      <c r="J356" s="17"/>
      <c r="K356" s="17"/>
    </row>
    <row r="357" spans="5:11" x14ac:dyDescent="0.2">
      <c r="E357" s="10"/>
      <c r="F357" s="53"/>
      <c r="G357" s="9"/>
      <c r="J357" s="17"/>
      <c r="K357" s="17"/>
    </row>
    <row r="358" spans="5:11" x14ac:dyDescent="0.2">
      <c r="E358" s="10"/>
      <c r="F358" s="53"/>
      <c r="G358" s="9"/>
      <c r="J358" s="17"/>
      <c r="K358" s="17"/>
    </row>
    <row r="359" spans="5:11" x14ac:dyDescent="0.2">
      <c r="E359" s="10"/>
      <c r="F359" s="53"/>
      <c r="G359" s="9"/>
      <c r="J359" s="17"/>
      <c r="K359" s="17"/>
    </row>
    <row r="360" spans="5:11" x14ac:dyDescent="0.2">
      <c r="E360" s="10"/>
      <c r="F360" s="53"/>
      <c r="G360" s="9"/>
      <c r="J360" s="17"/>
      <c r="K360" s="17"/>
    </row>
    <row r="361" spans="5:11" x14ac:dyDescent="0.2">
      <c r="E361" s="10"/>
      <c r="F361" s="53"/>
      <c r="G361" s="9"/>
      <c r="J361" s="17"/>
      <c r="K361" s="17"/>
    </row>
    <row r="362" spans="5:11" x14ac:dyDescent="0.2">
      <c r="E362" s="10"/>
      <c r="F362" s="53"/>
      <c r="G362" s="9"/>
      <c r="J362" s="17"/>
      <c r="K362" s="17"/>
    </row>
    <row r="363" spans="5:11" x14ac:dyDescent="0.2">
      <c r="E363" s="10"/>
      <c r="F363" s="53"/>
      <c r="G363" s="9"/>
      <c r="J363" s="17"/>
      <c r="K363" s="17"/>
    </row>
    <row r="364" spans="5:11" x14ac:dyDescent="0.2">
      <c r="E364" s="10"/>
      <c r="F364" s="53"/>
      <c r="G364" s="9"/>
      <c r="J364" s="17"/>
      <c r="K364" s="17"/>
    </row>
    <row r="365" spans="5:11" x14ac:dyDescent="0.2">
      <c r="E365" s="10"/>
      <c r="F365" s="53"/>
      <c r="G365" s="9"/>
      <c r="J365" s="17"/>
      <c r="K365" s="17"/>
    </row>
    <row r="366" spans="5:11" x14ac:dyDescent="0.2">
      <c r="E366" s="10"/>
      <c r="F366" s="53"/>
      <c r="G366" s="9"/>
      <c r="J366" s="17"/>
      <c r="K366" s="17"/>
    </row>
    <row r="367" spans="5:11" x14ac:dyDescent="0.2">
      <c r="E367" s="10"/>
      <c r="F367" s="53"/>
      <c r="G367" s="9"/>
      <c r="J367" s="17"/>
      <c r="K367" s="17"/>
    </row>
    <row r="368" spans="5:11" x14ac:dyDescent="0.2">
      <c r="E368" s="10"/>
      <c r="F368" s="53"/>
      <c r="G368" s="9"/>
      <c r="J368" s="17"/>
      <c r="K368" s="17"/>
    </row>
    <row r="369" spans="5:11" x14ac:dyDescent="0.2">
      <c r="E369" s="10"/>
      <c r="F369" s="53"/>
      <c r="G369" s="9"/>
      <c r="J369" s="17"/>
      <c r="K369" s="17"/>
    </row>
    <row r="370" spans="5:11" x14ac:dyDescent="0.2">
      <c r="E370" s="10"/>
      <c r="F370" s="53"/>
      <c r="G370" s="9"/>
      <c r="J370" s="17"/>
      <c r="K370" s="17"/>
    </row>
    <row r="371" spans="5:11" x14ac:dyDescent="0.2">
      <c r="E371" s="10"/>
      <c r="F371" s="53"/>
      <c r="G371" s="9"/>
      <c r="J371" s="17"/>
      <c r="K371" s="17"/>
    </row>
    <row r="372" spans="5:11" x14ac:dyDescent="0.2">
      <c r="E372" s="10"/>
      <c r="F372" s="53"/>
      <c r="G372" s="9"/>
      <c r="J372" s="17"/>
      <c r="K372" s="17"/>
    </row>
    <row r="373" spans="5:11" x14ac:dyDescent="0.2">
      <c r="E373" s="10"/>
      <c r="F373" s="53"/>
      <c r="G373" s="9"/>
      <c r="J373" s="17"/>
      <c r="K373" s="17"/>
    </row>
    <row r="374" spans="5:11" x14ac:dyDescent="0.2">
      <c r="E374" s="10"/>
      <c r="F374" s="53"/>
      <c r="G374" s="9"/>
      <c r="J374" s="17"/>
      <c r="K374" s="17"/>
    </row>
    <row r="375" spans="5:11" x14ac:dyDescent="0.2">
      <c r="E375" s="10"/>
      <c r="F375" s="53"/>
      <c r="G375" s="9"/>
      <c r="J375" s="17"/>
      <c r="K375" s="17"/>
    </row>
    <row r="376" spans="5:11" x14ac:dyDescent="0.2">
      <c r="E376" s="10"/>
      <c r="F376" s="53"/>
      <c r="G376" s="9"/>
      <c r="J376" s="17"/>
      <c r="K376" s="17"/>
    </row>
    <row r="377" spans="5:11" x14ac:dyDescent="0.2">
      <c r="E377" s="10"/>
      <c r="F377" s="53"/>
      <c r="G377" s="9"/>
      <c r="J377" s="17"/>
      <c r="K377" s="17"/>
    </row>
    <row r="378" spans="5:11" x14ac:dyDescent="0.2">
      <c r="E378" s="10"/>
      <c r="F378" s="53"/>
      <c r="G378" s="9"/>
      <c r="J378" s="17"/>
      <c r="K378" s="17"/>
    </row>
    <row r="379" spans="5:11" x14ac:dyDescent="0.2">
      <c r="E379" s="10"/>
      <c r="F379" s="53"/>
      <c r="G379" s="9"/>
      <c r="J379" s="17"/>
      <c r="K379" s="17"/>
    </row>
    <row r="380" spans="5:11" x14ac:dyDescent="0.2">
      <c r="E380" s="10"/>
      <c r="F380" s="53"/>
      <c r="G380" s="9"/>
      <c r="J380" s="17"/>
      <c r="K380" s="17"/>
    </row>
    <row r="381" spans="5:11" x14ac:dyDescent="0.2">
      <c r="E381" s="10"/>
      <c r="F381" s="53"/>
      <c r="G381" s="9"/>
      <c r="J381" s="17"/>
      <c r="K381" s="17"/>
    </row>
    <row r="382" spans="5:11" x14ac:dyDescent="0.2">
      <c r="E382" s="10"/>
      <c r="F382" s="53"/>
      <c r="G382" s="9"/>
      <c r="J382" s="17"/>
      <c r="K382" s="17"/>
    </row>
    <row r="383" spans="5:11" x14ac:dyDescent="0.2">
      <c r="E383" s="10"/>
      <c r="F383" s="53"/>
      <c r="G383" s="9"/>
      <c r="J383" s="17"/>
      <c r="K383" s="17"/>
    </row>
    <row r="384" spans="5:11" x14ac:dyDescent="0.2">
      <c r="E384" s="10"/>
      <c r="F384" s="53"/>
      <c r="G384" s="9"/>
      <c r="J384" s="17"/>
      <c r="K384" s="17"/>
    </row>
    <row r="385" spans="5:11" x14ac:dyDescent="0.2">
      <c r="E385" s="10"/>
      <c r="F385" s="53"/>
      <c r="G385" s="9"/>
      <c r="J385" s="17"/>
      <c r="K385" s="17"/>
    </row>
    <row r="386" spans="5:11" x14ac:dyDescent="0.2">
      <c r="E386" s="10"/>
      <c r="F386" s="53"/>
      <c r="G386" s="9"/>
      <c r="J386" s="17"/>
      <c r="K386" s="17"/>
    </row>
    <row r="387" spans="5:11" x14ac:dyDescent="0.2">
      <c r="E387" s="10"/>
      <c r="F387" s="53"/>
      <c r="G387" s="9"/>
      <c r="J387" s="17"/>
      <c r="K387" s="17"/>
    </row>
    <row r="388" spans="5:11" x14ac:dyDescent="0.2">
      <c r="E388" s="10"/>
      <c r="F388" s="53"/>
      <c r="G388" s="9"/>
      <c r="J388" s="17"/>
      <c r="K388" s="17"/>
    </row>
    <row r="389" spans="5:11" x14ac:dyDescent="0.2">
      <c r="E389" s="10"/>
      <c r="F389" s="53"/>
      <c r="G389" s="9"/>
      <c r="J389" s="17"/>
      <c r="K389" s="17"/>
    </row>
    <row r="390" spans="5:11" x14ac:dyDescent="0.2">
      <c r="E390" s="10"/>
      <c r="F390" s="53"/>
      <c r="G390" s="9"/>
      <c r="J390" s="17"/>
      <c r="K390" s="17"/>
    </row>
    <row r="391" spans="5:11" x14ac:dyDescent="0.2">
      <c r="E391" s="10"/>
      <c r="F391" s="53"/>
      <c r="G391" s="9"/>
      <c r="J391" s="17"/>
      <c r="K391" s="17"/>
    </row>
    <row r="392" spans="5:11" x14ac:dyDescent="0.2">
      <c r="E392" s="10"/>
      <c r="F392" s="53"/>
      <c r="G392" s="9"/>
      <c r="J392" s="17"/>
      <c r="K392" s="17"/>
    </row>
    <row r="393" spans="5:11" x14ac:dyDescent="0.2">
      <c r="E393" s="10"/>
      <c r="F393" s="53"/>
      <c r="G393" s="9"/>
      <c r="J393" s="17"/>
      <c r="K393" s="17"/>
    </row>
    <row r="394" spans="5:11" x14ac:dyDescent="0.2">
      <c r="E394" s="10"/>
      <c r="F394" s="53"/>
      <c r="G394" s="9"/>
      <c r="J394" s="17"/>
      <c r="K394" s="17"/>
    </row>
    <row r="395" spans="5:11" x14ac:dyDescent="0.2">
      <c r="E395" s="10"/>
      <c r="F395" s="53"/>
      <c r="G395" s="9"/>
      <c r="J395" s="17"/>
      <c r="K395" s="17"/>
    </row>
    <row r="396" spans="5:11" x14ac:dyDescent="0.2">
      <c r="E396" s="10"/>
      <c r="F396" s="53"/>
      <c r="G396" s="9"/>
      <c r="J396" s="17"/>
      <c r="K396" s="17"/>
    </row>
    <row r="397" spans="5:11" x14ac:dyDescent="0.2">
      <c r="E397" s="10"/>
      <c r="F397" s="53"/>
      <c r="G397" s="9"/>
      <c r="J397" s="17"/>
      <c r="K397" s="17"/>
    </row>
    <row r="398" spans="5:11" x14ac:dyDescent="0.2">
      <c r="E398" s="10"/>
      <c r="F398" s="53"/>
      <c r="G398" s="9"/>
      <c r="J398" s="17"/>
      <c r="K398" s="17"/>
    </row>
    <row r="399" spans="5:11" x14ac:dyDescent="0.2">
      <c r="E399" s="10"/>
      <c r="F399" s="53"/>
      <c r="G399" s="9"/>
      <c r="J399" s="17"/>
      <c r="K399" s="17"/>
    </row>
    <row r="400" spans="5:11" x14ac:dyDescent="0.2">
      <c r="E400" s="10"/>
      <c r="F400" s="53"/>
      <c r="G400" s="9"/>
      <c r="J400" s="17"/>
      <c r="K400" s="17"/>
    </row>
    <row r="401" spans="5:11" x14ac:dyDescent="0.2">
      <c r="E401" s="10"/>
      <c r="F401" s="53"/>
      <c r="G401" s="9"/>
      <c r="J401" s="17"/>
      <c r="K401" s="17"/>
    </row>
    <row r="402" spans="5:11" x14ac:dyDescent="0.2">
      <c r="E402" s="10"/>
      <c r="F402" s="53"/>
      <c r="G402" s="9"/>
      <c r="J402" s="17"/>
      <c r="K402" s="17"/>
    </row>
    <row r="403" spans="5:11" x14ac:dyDescent="0.2">
      <c r="E403" s="10"/>
      <c r="F403" s="53"/>
      <c r="G403" s="9"/>
      <c r="J403" s="17"/>
      <c r="K403" s="17"/>
    </row>
    <row r="404" spans="5:11" x14ac:dyDescent="0.2">
      <c r="E404" s="10"/>
      <c r="F404" s="53"/>
      <c r="G404" s="9"/>
      <c r="J404" s="17"/>
      <c r="K404" s="17"/>
    </row>
    <row r="405" spans="5:11" x14ac:dyDescent="0.2">
      <c r="E405" s="10"/>
      <c r="F405" s="53"/>
      <c r="G405" s="9"/>
      <c r="J405" s="17"/>
      <c r="K405" s="17"/>
    </row>
    <row r="406" spans="5:11" x14ac:dyDescent="0.2">
      <c r="E406" s="10"/>
      <c r="F406" s="53"/>
      <c r="G406" s="9"/>
      <c r="J406" s="17"/>
      <c r="K406" s="17"/>
    </row>
    <row r="407" spans="5:11" x14ac:dyDescent="0.2">
      <c r="E407" s="10"/>
      <c r="F407" s="53"/>
      <c r="G407" s="9"/>
      <c r="J407" s="17"/>
      <c r="K407" s="17"/>
    </row>
    <row r="408" spans="5:11" x14ac:dyDescent="0.2">
      <c r="E408" s="10"/>
      <c r="F408" s="53"/>
      <c r="G408" s="9"/>
      <c r="J408" s="17"/>
      <c r="K408" s="17"/>
    </row>
    <row r="409" spans="5:11" x14ac:dyDescent="0.2">
      <c r="E409" s="10"/>
      <c r="F409" s="53"/>
      <c r="G409" s="9"/>
      <c r="J409" s="17"/>
      <c r="K409" s="17"/>
    </row>
    <row r="410" spans="5:11" x14ac:dyDescent="0.2">
      <c r="E410" s="10"/>
      <c r="F410" s="53"/>
      <c r="G410" s="9"/>
      <c r="J410" s="17"/>
      <c r="K410" s="17"/>
    </row>
    <row r="411" spans="5:11" x14ac:dyDescent="0.2">
      <c r="E411" s="10"/>
      <c r="F411" s="53"/>
      <c r="G411" s="9"/>
      <c r="J411" s="17"/>
      <c r="K411" s="17"/>
    </row>
    <row r="412" spans="5:11" x14ac:dyDescent="0.2">
      <c r="E412" s="10"/>
      <c r="F412" s="53"/>
      <c r="G412" s="9"/>
      <c r="J412" s="17"/>
      <c r="K412" s="17"/>
    </row>
    <row r="413" spans="5:11" x14ac:dyDescent="0.2">
      <c r="E413" s="10"/>
      <c r="F413" s="53"/>
      <c r="G413" s="9"/>
      <c r="J413" s="17"/>
      <c r="K413" s="17"/>
    </row>
    <row r="414" spans="5:11" x14ac:dyDescent="0.2">
      <c r="E414" s="10"/>
      <c r="F414" s="53"/>
      <c r="G414" s="9"/>
      <c r="J414" s="17"/>
      <c r="K414" s="17"/>
    </row>
    <row r="415" spans="5:11" x14ac:dyDescent="0.2">
      <c r="E415" s="10"/>
      <c r="F415" s="53"/>
      <c r="G415" s="9"/>
      <c r="J415" s="17"/>
      <c r="K415" s="17"/>
    </row>
    <row r="416" spans="5:11" x14ac:dyDescent="0.2">
      <c r="E416" s="10"/>
      <c r="F416" s="53"/>
      <c r="G416" s="9"/>
      <c r="J416" s="17"/>
      <c r="K416" s="17"/>
    </row>
    <row r="417" spans="5:11" x14ac:dyDescent="0.2">
      <c r="E417" s="10"/>
      <c r="F417" s="53"/>
      <c r="G417" s="9"/>
      <c r="J417" s="17"/>
      <c r="K417" s="17"/>
    </row>
    <row r="418" spans="5:11" x14ac:dyDescent="0.2">
      <c r="E418" s="10"/>
      <c r="F418" s="53"/>
      <c r="G418" s="9"/>
      <c r="J418" s="17"/>
      <c r="K418" s="17"/>
    </row>
    <row r="419" spans="5:11" x14ac:dyDescent="0.2">
      <c r="E419" s="10"/>
      <c r="F419" s="53"/>
      <c r="G419" s="9"/>
      <c r="J419" s="17"/>
      <c r="K419" s="17"/>
    </row>
    <row r="420" spans="5:11" x14ac:dyDescent="0.2">
      <c r="E420" s="10"/>
      <c r="F420" s="53"/>
      <c r="G420" s="9"/>
      <c r="J420" s="17"/>
      <c r="K420" s="17"/>
    </row>
    <row r="421" spans="5:11" x14ac:dyDescent="0.2">
      <c r="E421" s="10"/>
      <c r="F421" s="53"/>
      <c r="G421" s="9"/>
      <c r="J421" s="17"/>
      <c r="K421" s="17"/>
    </row>
    <row r="422" spans="5:11" x14ac:dyDescent="0.2">
      <c r="E422" s="10"/>
      <c r="F422" s="53"/>
      <c r="G422" s="9"/>
      <c r="J422" s="17"/>
      <c r="K422" s="17"/>
    </row>
    <row r="423" spans="5:11" x14ac:dyDescent="0.2">
      <c r="E423" s="10"/>
      <c r="F423" s="53"/>
      <c r="G423" s="9"/>
      <c r="J423" s="17"/>
      <c r="K423" s="17"/>
    </row>
    <row r="424" spans="5:11" x14ac:dyDescent="0.2">
      <c r="E424" s="10"/>
      <c r="F424" s="53"/>
      <c r="G424" s="9"/>
      <c r="J424" s="17"/>
      <c r="K424" s="17"/>
    </row>
    <row r="425" spans="5:11" x14ac:dyDescent="0.2">
      <c r="E425" s="10"/>
      <c r="F425" s="53"/>
      <c r="G425" s="9"/>
      <c r="J425" s="17"/>
      <c r="K425" s="17"/>
    </row>
    <row r="426" spans="5:11" x14ac:dyDescent="0.2">
      <c r="E426" s="10"/>
      <c r="F426" s="53"/>
      <c r="G426" s="9"/>
      <c r="J426" s="17"/>
      <c r="K426" s="17"/>
    </row>
    <row r="427" spans="5:11" x14ac:dyDescent="0.2">
      <c r="E427" s="10"/>
      <c r="F427" s="53"/>
      <c r="G427" s="9"/>
      <c r="J427" s="17"/>
      <c r="K427" s="17"/>
    </row>
    <row r="428" spans="5:11" x14ac:dyDescent="0.2">
      <c r="E428" s="10"/>
      <c r="F428" s="53"/>
      <c r="G428" s="9"/>
      <c r="J428" s="17"/>
      <c r="K428" s="17"/>
    </row>
    <row r="429" spans="5:11" x14ac:dyDescent="0.2">
      <c r="E429" s="10"/>
      <c r="F429" s="53"/>
      <c r="G429" s="9"/>
      <c r="J429" s="17"/>
      <c r="K429" s="17"/>
    </row>
    <row r="430" spans="5:11" x14ac:dyDescent="0.2">
      <c r="E430" s="10"/>
      <c r="F430" s="53"/>
      <c r="G430" s="9"/>
      <c r="J430" s="17"/>
      <c r="K430" s="17"/>
    </row>
    <row r="431" spans="5:11" x14ac:dyDescent="0.2">
      <c r="E431" s="10"/>
      <c r="F431" s="53"/>
      <c r="G431" s="9"/>
      <c r="J431" s="17"/>
      <c r="K431" s="17"/>
    </row>
    <row r="432" spans="5:11" x14ac:dyDescent="0.2">
      <c r="E432" s="10"/>
      <c r="F432" s="53"/>
      <c r="G432" s="9"/>
      <c r="J432" s="17"/>
      <c r="K432" s="17"/>
    </row>
    <row r="433" spans="5:11" x14ac:dyDescent="0.2">
      <c r="E433" s="10"/>
      <c r="F433" s="53"/>
      <c r="G433" s="9"/>
      <c r="J433" s="17"/>
      <c r="K433" s="17"/>
    </row>
    <row r="434" spans="5:11" x14ac:dyDescent="0.2">
      <c r="E434" s="10"/>
      <c r="F434" s="53"/>
      <c r="G434" s="9"/>
      <c r="J434" s="17"/>
      <c r="K434" s="17"/>
    </row>
    <row r="435" spans="5:11" x14ac:dyDescent="0.2">
      <c r="E435" s="10"/>
      <c r="F435" s="53"/>
      <c r="G435" s="9"/>
      <c r="J435" s="17"/>
      <c r="K435" s="17"/>
    </row>
    <row r="436" spans="5:11" x14ac:dyDescent="0.2">
      <c r="E436" s="10"/>
      <c r="F436" s="53"/>
      <c r="G436" s="9"/>
      <c r="J436" s="17"/>
      <c r="K436" s="17"/>
    </row>
    <row r="437" spans="5:11" x14ac:dyDescent="0.2">
      <c r="E437" s="10"/>
      <c r="F437" s="53"/>
      <c r="G437" s="9"/>
      <c r="J437" s="17"/>
      <c r="K437" s="17"/>
    </row>
    <row r="438" spans="5:11" x14ac:dyDescent="0.2">
      <c r="E438" s="10"/>
      <c r="F438" s="53"/>
      <c r="G438" s="9"/>
      <c r="J438" s="17"/>
      <c r="K438" s="17"/>
    </row>
    <row r="439" spans="5:11" x14ac:dyDescent="0.2">
      <c r="E439" s="10"/>
      <c r="F439" s="53"/>
      <c r="G439" s="9"/>
      <c r="J439" s="17"/>
      <c r="K439" s="17"/>
    </row>
    <row r="440" spans="5:11" x14ac:dyDescent="0.2">
      <c r="E440" s="10"/>
      <c r="F440" s="53"/>
      <c r="G440" s="9"/>
      <c r="J440" s="17"/>
      <c r="K440" s="17"/>
    </row>
    <row r="441" spans="5:11" x14ac:dyDescent="0.2">
      <c r="E441" s="10"/>
      <c r="F441" s="53"/>
      <c r="G441" s="9"/>
      <c r="J441" s="17"/>
      <c r="K441" s="17"/>
    </row>
    <row r="442" spans="5:11" x14ac:dyDescent="0.2">
      <c r="E442" s="10"/>
      <c r="F442" s="53"/>
      <c r="G442" s="9"/>
      <c r="J442" s="17"/>
      <c r="K442" s="17"/>
    </row>
    <row r="443" spans="5:11" x14ac:dyDescent="0.2">
      <c r="E443" s="10"/>
      <c r="F443" s="53"/>
      <c r="G443" s="9"/>
      <c r="J443" s="17"/>
      <c r="K443" s="17"/>
    </row>
    <row r="444" spans="5:11" x14ac:dyDescent="0.2">
      <c r="E444" s="10"/>
      <c r="F444" s="53"/>
      <c r="G444" s="9"/>
      <c r="J444" s="17"/>
      <c r="K444" s="17"/>
    </row>
    <row r="445" spans="5:11" x14ac:dyDescent="0.2">
      <c r="E445" s="10"/>
      <c r="F445" s="53"/>
      <c r="G445" s="9"/>
      <c r="J445" s="17"/>
      <c r="K445" s="17"/>
    </row>
    <row r="446" spans="5:11" x14ac:dyDescent="0.2">
      <c r="E446" s="10"/>
      <c r="F446" s="53"/>
      <c r="G446" s="9"/>
      <c r="J446" s="17"/>
      <c r="K446" s="17"/>
    </row>
    <row r="447" spans="5:11" x14ac:dyDescent="0.2">
      <c r="E447" s="10"/>
      <c r="F447" s="53"/>
      <c r="G447" s="9"/>
      <c r="J447" s="17"/>
      <c r="K447" s="17"/>
    </row>
    <row r="448" spans="5:11" x14ac:dyDescent="0.2">
      <c r="E448" s="10"/>
      <c r="F448" s="53"/>
      <c r="G448" s="9"/>
      <c r="J448" s="17"/>
      <c r="K448" s="17"/>
    </row>
    <row r="449" spans="5:11" x14ac:dyDescent="0.2">
      <c r="E449" s="10"/>
      <c r="F449" s="53"/>
      <c r="G449" s="9"/>
      <c r="J449" s="17"/>
      <c r="K449" s="17"/>
    </row>
    <row r="450" spans="5:11" x14ac:dyDescent="0.2">
      <c r="E450" s="10"/>
      <c r="F450" s="53"/>
      <c r="G450" s="9"/>
      <c r="J450" s="17"/>
      <c r="K450" s="17"/>
    </row>
    <row r="451" spans="5:11" x14ac:dyDescent="0.2">
      <c r="E451" s="10"/>
      <c r="F451" s="53"/>
      <c r="G451" s="9"/>
      <c r="J451" s="17"/>
      <c r="K451" s="17"/>
    </row>
    <row r="452" spans="5:11" x14ac:dyDescent="0.2">
      <c r="E452" s="10"/>
      <c r="F452" s="53"/>
      <c r="G452" s="9"/>
      <c r="J452" s="17"/>
      <c r="K452" s="17"/>
    </row>
    <row r="453" spans="5:11" x14ac:dyDescent="0.2">
      <c r="E453" s="10"/>
      <c r="F453" s="53"/>
      <c r="G453" s="9"/>
      <c r="J453" s="17"/>
      <c r="K453" s="17"/>
    </row>
    <row r="454" spans="5:11" x14ac:dyDescent="0.2">
      <c r="E454" s="10"/>
      <c r="F454" s="53"/>
      <c r="G454" s="9"/>
      <c r="J454" s="17"/>
      <c r="K454" s="17"/>
    </row>
    <row r="455" spans="5:11" x14ac:dyDescent="0.2">
      <c r="E455" s="10"/>
      <c r="F455" s="53"/>
      <c r="G455" s="9"/>
      <c r="J455" s="17"/>
      <c r="K455" s="17"/>
    </row>
    <row r="456" spans="5:11" x14ac:dyDescent="0.2">
      <c r="E456" s="10"/>
      <c r="F456" s="53"/>
      <c r="G456" s="9"/>
      <c r="J456" s="17"/>
      <c r="K456" s="17"/>
    </row>
    <row r="457" spans="5:11" x14ac:dyDescent="0.2">
      <c r="E457" s="10"/>
      <c r="F457" s="53"/>
      <c r="G457" s="9"/>
      <c r="J457" s="17"/>
      <c r="K457" s="17"/>
    </row>
    <row r="458" spans="5:11" x14ac:dyDescent="0.2">
      <c r="E458" s="10"/>
      <c r="F458" s="53"/>
      <c r="G458" s="9"/>
      <c r="J458" s="17"/>
      <c r="K458" s="17"/>
    </row>
    <row r="459" spans="5:11" x14ac:dyDescent="0.2">
      <c r="E459" s="10"/>
      <c r="F459" s="53"/>
      <c r="G459" s="9"/>
      <c r="J459" s="17"/>
      <c r="K459" s="17"/>
    </row>
    <row r="460" spans="5:11" x14ac:dyDescent="0.2">
      <c r="E460" s="10"/>
      <c r="F460" s="53"/>
      <c r="G460" s="9"/>
      <c r="J460" s="17"/>
      <c r="K460" s="17"/>
    </row>
    <row r="461" spans="5:11" x14ac:dyDescent="0.2">
      <c r="E461" s="10"/>
      <c r="F461" s="53"/>
      <c r="G461" s="9"/>
      <c r="J461" s="17"/>
      <c r="K461" s="17"/>
    </row>
    <row r="462" spans="5:11" x14ac:dyDescent="0.2">
      <c r="E462" s="10"/>
      <c r="F462" s="53"/>
      <c r="G462" s="9"/>
      <c r="J462" s="17"/>
      <c r="K462" s="17"/>
    </row>
    <row r="463" spans="5:11" x14ac:dyDescent="0.2">
      <c r="E463" s="10"/>
      <c r="F463" s="53"/>
      <c r="G463" s="9"/>
      <c r="J463" s="17"/>
      <c r="K463" s="17"/>
    </row>
    <row r="464" spans="5:11" x14ac:dyDescent="0.2">
      <c r="E464" s="10"/>
      <c r="F464" s="53"/>
      <c r="G464" s="9"/>
      <c r="J464" s="17"/>
      <c r="K464" s="17"/>
    </row>
    <row r="465" spans="5:11" x14ac:dyDescent="0.2">
      <c r="E465" s="10"/>
      <c r="F465" s="53"/>
      <c r="G465" s="9"/>
      <c r="J465" s="17"/>
      <c r="K465" s="17"/>
    </row>
    <row r="466" spans="5:11" x14ac:dyDescent="0.2">
      <c r="E466" s="10"/>
      <c r="F466" s="53"/>
      <c r="G466" s="9"/>
      <c r="J466" s="17"/>
      <c r="K466" s="17"/>
    </row>
    <row r="467" spans="5:11" x14ac:dyDescent="0.2">
      <c r="E467" s="10"/>
      <c r="F467" s="53"/>
      <c r="G467" s="9"/>
      <c r="J467" s="17"/>
      <c r="K467" s="17"/>
    </row>
    <row r="468" spans="5:11" x14ac:dyDescent="0.2">
      <c r="E468" s="10"/>
      <c r="F468" s="53"/>
      <c r="G468" s="9"/>
      <c r="J468" s="17"/>
      <c r="K468" s="17"/>
    </row>
    <row r="469" spans="5:11" x14ac:dyDescent="0.2">
      <c r="E469" s="10"/>
      <c r="F469" s="53"/>
      <c r="G469" s="9"/>
      <c r="J469" s="17"/>
      <c r="K469" s="17"/>
    </row>
    <row r="470" spans="5:11" x14ac:dyDescent="0.2">
      <c r="E470" s="10"/>
      <c r="F470" s="53"/>
      <c r="G470" s="9"/>
      <c r="J470" s="17"/>
      <c r="K470" s="17"/>
    </row>
    <row r="471" spans="5:11" x14ac:dyDescent="0.2">
      <c r="E471" s="10"/>
      <c r="F471" s="53"/>
      <c r="G471" s="9"/>
      <c r="J471" s="17"/>
      <c r="K471" s="17"/>
    </row>
    <row r="472" spans="5:11" x14ac:dyDescent="0.2">
      <c r="E472" s="10"/>
      <c r="F472" s="53"/>
      <c r="G472" s="9"/>
      <c r="J472" s="17"/>
      <c r="K472" s="17"/>
    </row>
    <row r="473" spans="5:11" x14ac:dyDescent="0.2">
      <c r="E473" s="10"/>
      <c r="F473" s="53"/>
      <c r="G473" s="9"/>
      <c r="J473" s="17"/>
      <c r="K473" s="17"/>
    </row>
    <row r="474" spans="5:11" x14ac:dyDescent="0.2">
      <c r="E474" s="10"/>
      <c r="F474" s="53"/>
      <c r="G474" s="9"/>
      <c r="J474" s="17"/>
      <c r="K474" s="17"/>
    </row>
    <row r="475" spans="5:11" x14ac:dyDescent="0.2">
      <c r="E475" s="10"/>
      <c r="F475" s="53"/>
      <c r="G475" s="9"/>
      <c r="J475" s="17"/>
      <c r="K475" s="17"/>
    </row>
    <row r="476" spans="5:11" x14ac:dyDescent="0.2">
      <c r="E476" s="10"/>
      <c r="F476" s="53"/>
      <c r="G476" s="9"/>
      <c r="J476" s="17"/>
      <c r="K476" s="17"/>
    </row>
    <row r="477" spans="5:11" x14ac:dyDescent="0.2">
      <c r="E477" s="10"/>
      <c r="F477" s="53"/>
      <c r="G477" s="9"/>
      <c r="J477" s="17"/>
      <c r="K477" s="17"/>
    </row>
    <row r="478" spans="5:11" x14ac:dyDescent="0.2">
      <c r="E478" s="10"/>
      <c r="F478" s="53"/>
      <c r="G478" s="9"/>
      <c r="J478" s="17"/>
      <c r="K478" s="17"/>
    </row>
    <row r="479" spans="5:11" x14ac:dyDescent="0.2">
      <c r="E479" s="10"/>
      <c r="F479" s="53"/>
      <c r="G479" s="9"/>
      <c r="J479" s="17"/>
      <c r="K479" s="17"/>
    </row>
    <row r="480" spans="5:11" x14ac:dyDescent="0.2">
      <c r="E480" s="10"/>
      <c r="F480" s="53"/>
      <c r="G480" s="9"/>
      <c r="J480" s="17"/>
      <c r="K480" s="17"/>
    </row>
    <row r="481" spans="5:11" x14ac:dyDescent="0.2">
      <c r="E481" s="10"/>
      <c r="F481" s="53"/>
      <c r="G481" s="9"/>
      <c r="J481" s="17"/>
      <c r="K481" s="17"/>
    </row>
    <row r="482" spans="5:11" x14ac:dyDescent="0.2">
      <c r="E482" s="10"/>
      <c r="F482" s="53"/>
      <c r="G482" s="9"/>
      <c r="J482" s="17"/>
      <c r="K482" s="17"/>
    </row>
    <row r="483" spans="5:11" x14ac:dyDescent="0.2">
      <c r="E483" s="10"/>
      <c r="F483" s="53"/>
      <c r="G483" s="9"/>
      <c r="J483" s="17"/>
      <c r="K483" s="17"/>
    </row>
    <row r="484" spans="5:11" x14ac:dyDescent="0.2">
      <c r="E484" s="10"/>
      <c r="F484" s="53"/>
      <c r="G484" s="9"/>
      <c r="J484" s="17"/>
      <c r="K484" s="17"/>
    </row>
    <row r="485" spans="5:11" x14ac:dyDescent="0.2">
      <c r="E485" s="10"/>
      <c r="F485" s="53"/>
      <c r="G485" s="9"/>
      <c r="J485" s="17"/>
      <c r="K485" s="17"/>
    </row>
    <row r="486" spans="5:11" x14ac:dyDescent="0.2">
      <c r="E486" s="10"/>
      <c r="F486" s="53"/>
      <c r="G486" s="9"/>
      <c r="J486" s="17"/>
      <c r="K486" s="17"/>
    </row>
    <row r="487" spans="5:11" x14ac:dyDescent="0.2">
      <c r="E487" s="10"/>
      <c r="F487" s="53"/>
      <c r="G487" s="9"/>
      <c r="J487" s="17"/>
      <c r="K487" s="17"/>
    </row>
    <row r="488" spans="5:11" x14ac:dyDescent="0.2">
      <c r="E488" s="10"/>
      <c r="F488" s="53"/>
      <c r="G488" s="9"/>
      <c r="J488" s="17"/>
      <c r="K488" s="17"/>
    </row>
    <row r="489" spans="5:11" x14ac:dyDescent="0.2">
      <c r="E489" s="10"/>
      <c r="F489" s="53"/>
      <c r="G489" s="9"/>
      <c r="J489" s="17"/>
      <c r="K489" s="17"/>
    </row>
    <row r="490" spans="5:11" x14ac:dyDescent="0.2">
      <c r="E490" s="10"/>
      <c r="F490" s="53"/>
      <c r="G490" s="9"/>
      <c r="J490" s="17"/>
      <c r="K490" s="17"/>
    </row>
    <row r="491" spans="5:11" x14ac:dyDescent="0.2">
      <c r="E491" s="10"/>
      <c r="F491" s="53"/>
      <c r="G491" s="9"/>
      <c r="J491" s="17"/>
      <c r="K491" s="17"/>
    </row>
    <row r="492" spans="5:11" x14ac:dyDescent="0.2">
      <c r="E492" s="10"/>
      <c r="F492" s="53"/>
      <c r="G492" s="9"/>
      <c r="J492" s="17"/>
      <c r="K492" s="17"/>
    </row>
    <row r="493" spans="5:11" x14ac:dyDescent="0.2">
      <c r="E493" s="10"/>
      <c r="F493" s="53"/>
      <c r="G493" s="9"/>
      <c r="J493" s="17"/>
      <c r="K493" s="17"/>
    </row>
    <row r="494" spans="5:11" x14ac:dyDescent="0.2">
      <c r="E494" s="10"/>
      <c r="F494" s="53"/>
      <c r="G494" s="9"/>
      <c r="J494" s="17"/>
      <c r="K494" s="17"/>
    </row>
    <row r="495" spans="5:11" x14ac:dyDescent="0.2">
      <c r="E495" s="10"/>
      <c r="F495" s="53"/>
      <c r="G495" s="9"/>
      <c r="J495" s="17"/>
      <c r="K495" s="17"/>
    </row>
    <row r="496" spans="5:11" x14ac:dyDescent="0.2">
      <c r="E496" s="10"/>
      <c r="F496" s="53"/>
      <c r="G496" s="9"/>
      <c r="J496" s="17"/>
      <c r="K496" s="17"/>
    </row>
    <row r="497" spans="5:11" x14ac:dyDescent="0.2">
      <c r="E497" s="10"/>
      <c r="F497" s="53"/>
      <c r="G497" s="9"/>
      <c r="J497" s="17"/>
      <c r="K497" s="17"/>
    </row>
    <row r="498" spans="5:11" x14ac:dyDescent="0.2">
      <c r="E498" s="10"/>
      <c r="F498" s="53"/>
      <c r="G498" s="9"/>
      <c r="J498" s="17"/>
      <c r="K498" s="17"/>
    </row>
    <row r="499" spans="5:11" x14ac:dyDescent="0.2">
      <c r="E499" s="10"/>
      <c r="F499" s="53"/>
      <c r="G499" s="9"/>
      <c r="J499" s="17"/>
      <c r="K499" s="17"/>
    </row>
    <row r="500" spans="5:11" x14ac:dyDescent="0.2">
      <c r="E500" s="10"/>
      <c r="F500" s="53"/>
      <c r="G500" s="9"/>
      <c r="J500" s="17"/>
      <c r="K500" s="17"/>
    </row>
    <row r="501" spans="5:11" x14ac:dyDescent="0.2">
      <c r="E501" s="10"/>
      <c r="F501" s="53"/>
      <c r="G501" s="9"/>
      <c r="J501" s="17"/>
      <c r="K501" s="17"/>
    </row>
    <row r="502" spans="5:11" x14ac:dyDescent="0.2">
      <c r="E502" s="10"/>
      <c r="F502" s="53"/>
      <c r="G502" s="9"/>
      <c r="J502" s="17"/>
      <c r="K502" s="17"/>
    </row>
    <row r="503" spans="5:11" x14ac:dyDescent="0.2">
      <c r="E503" s="10"/>
      <c r="F503" s="53"/>
      <c r="G503" s="9"/>
      <c r="J503" s="17"/>
      <c r="K503" s="17"/>
    </row>
    <row r="504" spans="5:11" x14ac:dyDescent="0.2">
      <c r="E504" s="10"/>
      <c r="F504" s="53"/>
      <c r="G504" s="9"/>
      <c r="J504" s="17"/>
      <c r="K504" s="17"/>
    </row>
    <row r="505" spans="5:11" x14ac:dyDescent="0.2">
      <c r="E505" s="10"/>
      <c r="F505" s="53"/>
      <c r="G505" s="9"/>
      <c r="J505" s="17"/>
      <c r="K505" s="17"/>
    </row>
    <row r="506" spans="5:11" x14ac:dyDescent="0.2">
      <c r="E506" s="10"/>
      <c r="F506" s="53"/>
      <c r="G506" s="9"/>
      <c r="J506" s="17"/>
      <c r="K506" s="17"/>
    </row>
    <row r="507" spans="5:11" x14ac:dyDescent="0.2">
      <c r="E507" s="10"/>
      <c r="F507" s="53"/>
      <c r="G507" s="9"/>
      <c r="J507" s="17"/>
      <c r="K507" s="17"/>
    </row>
    <row r="508" spans="5:11" x14ac:dyDescent="0.2">
      <c r="E508" s="10"/>
      <c r="F508" s="53"/>
      <c r="G508" s="9"/>
      <c r="J508" s="17"/>
      <c r="K508" s="17"/>
    </row>
    <row r="509" spans="5:11" x14ac:dyDescent="0.2">
      <c r="E509" s="10"/>
      <c r="F509" s="53"/>
      <c r="G509" s="9"/>
      <c r="J509" s="17"/>
      <c r="K509" s="17"/>
    </row>
    <row r="510" spans="5:11" x14ac:dyDescent="0.2">
      <c r="E510" s="10"/>
      <c r="F510" s="53"/>
      <c r="G510" s="9"/>
      <c r="J510" s="17"/>
      <c r="K510" s="17"/>
    </row>
    <row r="511" spans="5:11" x14ac:dyDescent="0.2">
      <c r="E511" s="10"/>
      <c r="F511" s="53"/>
      <c r="G511" s="9"/>
      <c r="J511" s="17"/>
      <c r="K511" s="17"/>
    </row>
    <row r="512" spans="5:11" x14ac:dyDescent="0.2">
      <c r="E512" s="10"/>
      <c r="F512" s="53"/>
      <c r="G512" s="9"/>
      <c r="J512" s="17"/>
      <c r="K512" s="17"/>
    </row>
    <row r="513" spans="5:11" x14ac:dyDescent="0.2">
      <c r="E513" s="10"/>
      <c r="F513" s="53"/>
      <c r="G513" s="9"/>
      <c r="J513" s="17"/>
      <c r="K513" s="17"/>
    </row>
    <row r="514" spans="5:11" x14ac:dyDescent="0.2">
      <c r="E514" s="10"/>
      <c r="F514" s="53"/>
      <c r="G514" s="9"/>
      <c r="J514" s="17"/>
      <c r="K514" s="17"/>
    </row>
    <row r="515" spans="5:11" x14ac:dyDescent="0.2">
      <c r="E515" s="10"/>
      <c r="F515" s="53"/>
      <c r="G515" s="9"/>
      <c r="J515" s="17"/>
      <c r="K515" s="17"/>
    </row>
    <row r="516" spans="5:11" x14ac:dyDescent="0.2">
      <c r="E516" s="10"/>
      <c r="F516" s="53"/>
      <c r="G516" s="9"/>
      <c r="J516" s="17"/>
      <c r="K516" s="17"/>
    </row>
    <row r="517" spans="5:11" x14ac:dyDescent="0.2">
      <c r="E517" s="10"/>
      <c r="F517" s="53"/>
      <c r="G517" s="9"/>
      <c r="J517" s="17"/>
      <c r="K517" s="17"/>
    </row>
    <row r="518" spans="5:11" x14ac:dyDescent="0.2">
      <c r="E518" s="10"/>
      <c r="F518" s="53"/>
      <c r="G518" s="9"/>
      <c r="J518" s="17"/>
      <c r="K518" s="17"/>
    </row>
    <row r="519" spans="5:11" x14ac:dyDescent="0.2">
      <c r="E519" s="10"/>
      <c r="F519" s="53"/>
      <c r="G519" s="9"/>
      <c r="J519" s="17"/>
      <c r="K519" s="17"/>
    </row>
    <row r="520" spans="5:11" x14ac:dyDescent="0.2">
      <c r="E520" s="10"/>
      <c r="F520" s="53"/>
      <c r="G520" s="9"/>
      <c r="J520" s="17"/>
      <c r="K520" s="17"/>
    </row>
    <row r="521" spans="5:11" x14ac:dyDescent="0.2">
      <c r="E521" s="10"/>
      <c r="F521" s="53"/>
      <c r="G521" s="9"/>
      <c r="J521" s="17"/>
      <c r="K521" s="17"/>
    </row>
    <row r="522" spans="5:11" x14ac:dyDescent="0.2">
      <c r="E522" s="10"/>
      <c r="F522" s="53"/>
      <c r="G522" s="9"/>
      <c r="J522" s="17"/>
      <c r="K522" s="17"/>
    </row>
    <row r="523" spans="5:11" x14ac:dyDescent="0.2">
      <c r="E523" s="10"/>
      <c r="F523" s="53"/>
      <c r="G523" s="9"/>
      <c r="J523" s="17"/>
      <c r="K523" s="17"/>
    </row>
    <row r="524" spans="5:11" x14ac:dyDescent="0.2">
      <c r="E524" s="10"/>
      <c r="F524" s="53"/>
      <c r="G524" s="9"/>
      <c r="J524" s="17"/>
      <c r="K524" s="17"/>
    </row>
    <row r="525" spans="5:11" x14ac:dyDescent="0.2">
      <c r="E525" s="10"/>
      <c r="F525" s="53"/>
      <c r="G525" s="9"/>
      <c r="J525" s="17"/>
      <c r="K525" s="17"/>
    </row>
    <row r="526" spans="5:11" x14ac:dyDescent="0.2">
      <c r="E526" s="10"/>
      <c r="F526" s="53"/>
      <c r="G526" s="9"/>
      <c r="J526" s="17"/>
      <c r="K526" s="17"/>
    </row>
    <row r="527" spans="5:11" x14ac:dyDescent="0.2">
      <c r="E527" s="10"/>
      <c r="F527" s="53"/>
      <c r="G527" s="9"/>
      <c r="J527" s="17"/>
      <c r="K527" s="17"/>
    </row>
    <row r="528" spans="5:11" x14ac:dyDescent="0.2">
      <c r="E528" s="10"/>
      <c r="F528" s="53"/>
      <c r="G528" s="9"/>
      <c r="J528" s="17"/>
      <c r="K528" s="17"/>
    </row>
    <row r="529" spans="5:11" x14ac:dyDescent="0.2">
      <c r="E529" s="10"/>
      <c r="F529" s="53"/>
      <c r="G529" s="9"/>
      <c r="J529" s="17"/>
      <c r="K529" s="17"/>
    </row>
    <row r="530" spans="5:11" x14ac:dyDescent="0.2">
      <c r="E530" s="10"/>
      <c r="F530" s="53"/>
      <c r="G530" s="9"/>
      <c r="J530" s="17"/>
      <c r="K530" s="17"/>
    </row>
    <row r="531" spans="5:11" x14ac:dyDescent="0.2">
      <c r="E531" s="10"/>
      <c r="F531" s="53"/>
      <c r="G531" s="9"/>
      <c r="J531" s="17"/>
      <c r="K531" s="17"/>
    </row>
    <row r="532" spans="5:11" x14ac:dyDescent="0.2">
      <c r="E532" s="10"/>
      <c r="F532" s="53"/>
      <c r="G532" s="9"/>
      <c r="J532" s="17"/>
      <c r="K532" s="17"/>
    </row>
    <row r="533" spans="5:11" x14ac:dyDescent="0.2">
      <c r="E533" s="10"/>
      <c r="F533" s="53"/>
      <c r="G533" s="9"/>
      <c r="J533" s="17"/>
      <c r="K533" s="17"/>
    </row>
    <row r="534" spans="5:11" x14ac:dyDescent="0.2">
      <c r="E534" s="10"/>
      <c r="F534" s="53"/>
      <c r="G534" s="9"/>
      <c r="J534" s="17"/>
      <c r="K534" s="17"/>
    </row>
    <row r="535" spans="5:11" x14ac:dyDescent="0.2">
      <c r="E535" s="10"/>
      <c r="F535" s="53"/>
      <c r="G535" s="9"/>
      <c r="J535" s="17"/>
      <c r="K535" s="17"/>
    </row>
    <row r="536" spans="5:11" x14ac:dyDescent="0.2">
      <c r="E536" s="10"/>
      <c r="F536" s="53"/>
      <c r="G536" s="9"/>
      <c r="J536" s="17"/>
      <c r="K536" s="17"/>
    </row>
    <row r="537" spans="5:11" x14ac:dyDescent="0.2">
      <c r="E537" s="10"/>
      <c r="F537" s="53"/>
      <c r="G537" s="9"/>
      <c r="J537" s="17"/>
      <c r="K537" s="17"/>
    </row>
    <row r="538" spans="5:11" x14ac:dyDescent="0.2">
      <c r="E538" s="10"/>
      <c r="F538" s="53"/>
      <c r="G538" s="9"/>
      <c r="J538" s="17"/>
      <c r="K538" s="17"/>
    </row>
    <row r="539" spans="5:11" x14ac:dyDescent="0.2">
      <c r="E539" s="10"/>
      <c r="F539" s="53"/>
      <c r="G539" s="9"/>
      <c r="J539" s="17"/>
      <c r="K539" s="17"/>
    </row>
    <row r="540" spans="5:11" x14ac:dyDescent="0.2">
      <c r="E540" s="10"/>
      <c r="F540" s="53"/>
      <c r="G540" s="9"/>
      <c r="J540" s="17"/>
      <c r="K540" s="17"/>
    </row>
    <row r="541" spans="5:11" x14ac:dyDescent="0.2">
      <c r="E541" s="10"/>
      <c r="F541" s="53"/>
      <c r="G541" s="9"/>
      <c r="J541" s="17"/>
      <c r="K541" s="17"/>
    </row>
    <row r="542" spans="5:11" x14ac:dyDescent="0.2">
      <c r="E542" s="10"/>
      <c r="F542" s="53"/>
      <c r="G542" s="9"/>
      <c r="J542" s="17"/>
      <c r="K542" s="17"/>
    </row>
    <row r="543" spans="5:11" x14ac:dyDescent="0.2">
      <c r="E543" s="10"/>
      <c r="F543" s="53"/>
      <c r="G543" s="9"/>
      <c r="J543" s="17"/>
      <c r="K543" s="17"/>
    </row>
    <row r="544" spans="5:11" x14ac:dyDescent="0.2">
      <c r="E544" s="10"/>
      <c r="F544" s="53"/>
      <c r="G544" s="9"/>
      <c r="J544" s="17"/>
      <c r="K544" s="17"/>
    </row>
    <row r="545" spans="5:11" x14ac:dyDescent="0.2">
      <c r="E545" s="10"/>
      <c r="F545" s="53"/>
      <c r="G545" s="9"/>
      <c r="J545" s="17"/>
      <c r="K545" s="17"/>
    </row>
    <row r="546" spans="5:11" x14ac:dyDescent="0.2">
      <c r="E546" s="10"/>
      <c r="F546" s="53"/>
      <c r="G546" s="9"/>
      <c r="J546" s="17"/>
      <c r="K546" s="17"/>
    </row>
    <row r="547" spans="5:11" x14ac:dyDescent="0.2">
      <c r="E547" s="10"/>
      <c r="F547" s="53"/>
      <c r="G547" s="9"/>
      <c r="J547" s="17"/>
      <c r="K547" s="17"/>
    </row>
    <row r="548" spans="5:11" x14ac:dyDescent="0.2">
      <c r="E548" s="10"/>
      <c r="F548" s="53"/>
      <c r="G548" s="9"/>
      <c r="J548" s="17"/>
      <c r="K548" s="17"/>
    </row>
    <row r="549" spans="5:11" x14ac:dyDescent="0.2">
      <c r="E549" s="10"/>
      <c r="F549" s="53"/>
      <c r="G549" s="9"/>
      <c r="J549" s="17"/>
      <c r="K549" s="17"/>
    </row>
    <row r="550" spans="5:11" x14ac:dyDescent="0.2">
      <c r="E550" s="10"/>
      <c r="F550" s="53"/>
      <c r="G550" s="9"/>
      <c r="J550" s="17"/>
      <c r="K550" s="17"/>
    </row>
    <row r="551" spans="5:11" x14ac:dyDescent="0.2">
      <c r="E551" s="10"/>
      <c r="F551" s="53"/>
      <c r="G551" s="9"/>
      <c r="J551" s="17"/>
      <c r="K551" s="17"/>
    </row>
    <row r="552" spans="5:11" x14ac:dyDescent="0.2">
      <c r="E552" s="10"/>
      <c r="F552" s="53"/>
      <c r="G552" s="9"/>
      <c r="J552" s="17"/>
      <c r="K552" s="17"/>
    </row>
    <row r="553" spans="5:11" x14ac:dyDescent="0.2">
      <c r="E553" s="10"/>
      <c r="F553" s="53"/>
      <c r="G553" s="9"/>
      <c r="J553" s="17"/>
      <c r="K553" s="17"/>
    </row>
    <row r="554" spans="5:11" x14ac:dyDescent="0.2">
      <c r="E554" s="10"/>
      <c r="F554" s="53"/>
      <c r="G554" s="9"/>
      <c r="J554" s="17"/>
      <c r="K554" s="17"/>
    </row>
    <row r="555" spans="5:11" x14ac:dyDescent="0.2">
      <c r="E555" s="10"/>
      <c r="F555" s="53"/>
      <c r="G555" s="9"/>
      <c r="J555" s="17"/>
      <c r="K555" s="17"/>
    </row>
    <row r="556" spans="5:11" x14ac:dyDescent="0.2">
      <c r="E556" s="10"/>
      <c r="F556" s="53"/>
      <c r="G556" s="9"/>
      <c r="J556" s="17"/>
      <c r="K556" s="17"/>
    </row>
    <row r="557" spans="5:11" x14ac:dyDescent="0.2">
      <c r="E557" s="10"/>
      <c r="F557" s="53"/>
      <c r="G557" s="9"/>
      <c r="J557" s="17"/>
      <c r="K557" s="17"/>
    </row>
    <row r="558" spans="5:11" x14ac:dyDescent="0.2">
      <c r="E558" s="10"/>
      <c r="F558" s="53"/>
      <c r="G558" s="9"/>
      <c r="J558" s="17"/>
      <c r="K558" s="17"/>
    </row>
    <row r="559" spans="5:11" x14ac:dyDescent="0.2">
      <c r="E559" s="10"/>
      <c r="F559" s="53"/>
      <c r="G559" s="9"/>
      <c r="J559" s="17"/>
      <c r="K559" s="17"/>
    </row>
    <row r="560" spans="5:11" x14ac:dyDescent="0.2">
      <c r="E560" s="10"/>
      <c r="F560" s="53"/>
      <c r="G560" s="9"/>
      <c r="J560" s="17"/>
      <c r="K560" s="17"/>
    </row>
    <row r="561" spans="5:11" x14ac:dyDescent="0.2">
      <c r="E561" s="10"/>
      <c r="F561" s="53"/>
      <c r="G561" s="9"/>
      <c r="J561" s="17"/>
      <c r="K561" s="17"/>
    </row>
    <row r="562" spans="5:11" x14ac:dyDescent="0.2">
      <c r="E562" s="10"/>
      <c r="F562" s="53"/>
      <c r="G562" s="9"/>
      <c r="J562" s="17"/>
      <c r="K562" s="17"/>
    </row>
    <row r="563" spans="5:11" x14ac:dyDescent="0.2">
      <c r="E563" s="10"/>
      <c r="F563" s="53"/>
      <c r="G563" s="9"/>
      <c r="J563" s="17"/>
      <c r="K563" s="17"/>
    </row>
    <row r="564" spans="5:11" x14ac:dyDescent="0.2">
      <c r="E564" s="10"/>
      <c r="F564" s="53"/>
      <c r="G564" s="9"/>
      <c r="J564" s="17"/>
      <c r="K564" s="17"/>
    </row>
    <row r="565" spans="5:11" x14ac:dyDescent="0.2">
      <c r="E565" s="10"/>
      <c r="F565" s="53"/>
      <c r="G565" s="9"/>
      <c r="J565" s="17"/>
      <c r="K565" s="17"/>
    </row>
    <row r="566" spans="5:11" x14ac:dyDescent="0.2">
      <c r="E566" s="10"/>
      <c r="F566" s="53"/>
      <c r="G566" s="9"/>
      <c r="J566" s="17"/>
      <c r="K566" s="17"/>
    </row>
    <row r="567" spans="5:11" x14ac:dyDescent="0.2">
      <c r="E567" s="10"/>
      <c r="F567" s="53"/>
      <c r="G567" s="9"/>
      <c r="J567" s="17"/>
      <c r="K567" s="17"/>
    </row>
    <row r="568" spans="5:11" x14ac:dyDescent="0.2">
      <c r="E568" s="10"/>
      <c r="F568" s="53"/>
      <c r="G568" s="9"/>
      <c r="J568" s="17"/>
      <c r="K568" s="17"/>
    </row>
    <row r="569" spans="5:11" x14ac:dyDescent="0.2">
      <c r="E569" s="10"/>
      <c r="F569" s="53"/>
      <c r="G569" s="9"/>
      <c r="J569" s="17"/>
      <c r="K569" s="17"/>
    </row>
    <row r="570" spans="5:11" x14ac:dyDescent="0.2">
      <c r="E570" s="10"/>
      <c r="F570" s="53"/>
      <c r="G570" s="9"/>
      <c r="J570" s="17"/>
      <c r="K570" s="17"/>
    </row>
    <row r="571" spans="5:11" x14ac:dyDescent="0.2">
      <c r="E571" s="10"/>
      <c r="F571" s="53"/>
      <c r="G571" s="9"/>
      <c r="J571" s="17"/>
      <c r="K571" s="17"/>
    </row>
    <row r="572" spans="5:11" x14ac:dyDescent="0.2">
      <c r="E572" s="10"/>
      <c r="F572" s="53"/>
      <c r="G572" s="9"/>
      <c r="J572" s="17"/>
      <c r="K572" s="17"/>
    </row>
    <row r="573" spans="5:11" x14ac:dyDescent="0.2">
      <c r="E573" s="10"/>
      <c r="F573" s="53"/>
      <c r="G573" s="9"/>
      <c r="J573" s="17"/>
      <c r="K573" s="17"/>
    </row>
    <row r="574" spans="5:11" x14ac:dyDescent="0.2">
      <c r="E574" s="10"/>
      <c r="F574" s="53"/>
      <c r="G574" s="9"/>
      <c r="J574" s="17"/>
      <c r="K574" s="17"/>
    </row>
    <row r="575" spans="5:11" x14ac:dyDescent="0.2">
      <c r="E575" s="10"/>
      <c r="F575" s="53"/>
      <c r="G575" s="9"/>
      <c r="J575" s="17"/>
      <c r="K575" s="17"/>
    </row>
    <row r="576" spans="5:11" x14ac:dyDescent="0.2">
      <c r="E576" s="10"/>
      <c r="F576" s="53"/>
      <c r="G576" s="9"/>
      <c r="J576" s="17"/>
      <c r="K576" s="17"/>
    </row>
    <row r="577" spans="5:11" x14ac:dyDescent="0.2">
      <c r="E577" s="10"/>
      <c r="F577" s="53"/>
      <c r="G577" s="9"/>
      <c r="J577" s="17"/>
      <c r="K577" s="17"/>
    </row>
    <row r="578" spans="5:11" x14ac:dyDescent="0.2">
      <c r="E578" s="10"/>
      <c r="F578" s="53"/>
      <c r="G578" s="9"/>
      <c r="J578" s="17"/>
      <c r="K578" s="17"/>
    </row>
    <row r="579" spans="5:11" x14ac:dyDescent="0.2">
      <c r="E579" s="10"/>
      <c r="F579" s="53"/>
      <c r="G579" s="9"/>
      <c r="J579" s="17"/>
      <c r="K579" s="17"/>
    </row>
    <row r="580" spans="5:11" x14ac:dyDescent="0.2">
      <c r="E580" s="10"/>
      <c r="F580" s="53"/>
      <c r="G580" s="9"/>
      <c r="J580" s="17"/>
      <c r="K580" s="17"/>
    </row>
    <row r="581" spans="5:11" x14ac:dyDescent="0.2">
      <c r="E581" s="10"/>
      <c r="F581" s="53"/>
      <c r="G581" s="9"/>
      <c r="J581" s="17"/>
      <c r="K581" s="17"/>
    </row>
    <row r="582" spans="5:11" x14ac:dyDescent="0.2">
      <c r="E582" s="10"/>
      <c r="F582" s="53"/>
      <c r="G582" s="9"/>
      <c r="J582" s="17"/>
      <c r="K582" s="17"/>
    </row>
    <row r="583" spans="5:11" x14ac:dyDescent="0.2">
      <c r="E583" s="10"/>
      <c r="F583" s="53"/>
      <c r="G583" s="9"/>
      <c r="J583" s="17"/>
      <c r="K583" s="17"/>
    </row>
    <row r="584" spans="5:11" x14ac:dyDescent="0.2">
      <c r="E584" s="10"/>
      <c r="F584" s="53"/>
      <c r="G584" s="9"/>
      <c r="J584" s="17"/>
      <c r="K584" s="17"/>
    </row>
    <row r="585" spans="5:11" x14ac:dyDescent="0.2">
      <c r="E585" s="10"/>
      <c r="F585" s="53"/>
      <c r="G585" s="9"/>
      <c r="J585" s="17"/>
      <c r="K585" s="17"/>
    </row>
    <row r="586" spans="5:11" x14ac:dyDescent="0.2">
      <c r="E586" s="10"/>
      <c r="F586" s="53"/>
      <c r="G586" s="9"/>
      <c r="J586" s="17"/>
      <c r="K586" s="17"/>
    </row>
    <row r="587" spans="5:11" x14ac:dyDescent="0.2">
      <c r="E587" s="10"/>
      <c r="F587" s="53"/>
      <c r="G587" s="9"/>
      <c r="J587" s="17"/>
      <c r="K587" s="17"/>
    </row>
    <row r="588" spans="5:11" x14ac:dyDescent="0.2">
      <c r="E588" s="10"/>
      <c r="F588" s="53"/>
      <c r="G588" s="9"/>
      <c r="J588" s="17"/>
      <c r="K588" s="17"/>
    </row>
    <row r="589" spans="5:11" x14ac:dyDescent="0.2">
      <c r="E589" s="10"/>
      <c r="F589" s="53"/>
      <c r="G589" s="9"/>
      <c r="J589" s="17"/>
      <c r="K589" s="17"/>
    </row>
    <row r="590" spans="5:11" x14ac:dyDescent="0.2">
      <c r="E590" s="10"/>
      <c r="F590" s="53"/>
      <c r="G590" s="9"/>
      <c r="J590" s="17"/>
      <c r="K590" s="17"/>
    </row>
    <row r="591" spans="5:11" x14ac:dyDescent="0.2">
      <c r="E591" s="10"/>
      <c r="F591" s="53"/>
      <c r="G591" s="9"/>
      <c r="J591" s="17"/>
      <c r="K591" s="17"/>
    </row>
    <row r="592" spans="5:11" x14ac:dyDescent="0.2">
      <c r="E592" s="10"/>
      <c r="F592" s="53"/>
      <c r="G592" s="9"/>
      <c r="J592" s="17"/>
      <c r="K592" s="17"/>
    </row>
    <row r="593" spans="5:11" x14ac:dyDescent="0.2">
      <c r="E593" s="10"/>
      <c r="F593" s="53"/>
      <c r="G593" s="9"/>
      <c r="J593" s="17"/>
      <c r="K593" s="17"/>
    </row>
    <row r="594" spans="5:11" x14ac:dyDescent="0.2">
      <c r="E594" s="10"/>
      <c r="F594" s="53"/>
      <c r="G594" s="9"/>
      <c r="J594" s="17"/>
      <c r="K594" s="17"/>
    </row>
    <row r="595" spans="5:11" x14ac:dyDescent="0.2">
      <c r="E595" s="10"/>
      <c r="F595" s="53"/>
      <c r="G595" s="9"/>
      <c r="J595" s="17"/>
      <c r="K595" s="17"/>
    </row>
    <row r="596" spans="5:11" x14ac:dyDescent="0.2">
      <c r="E596" s="10"/>
      <c r="F596" s="53"/>
      <c r="G596" s="9"/>
      <c r="J596" s="17"/>
      <c r="K596" s="17"/>
    </row>
    <row r="597" spans="5:11" x14ac:dyDescent="0.2">
      <c r="E597" s="10"/>
      <c r="F597" s="53"/>
      <c r="G597" s="9"/>
      <c r="J597" s="17"/>
      <c r="K597" s="17"/>
    </row>
    <row r="598" spans="5:11" x14ac:dyDescent="0.2">
      <c r="E598" s="10"/>
      <c r="F598" s="53"/>
      <c r="G598" s="9"/>
      <c r="J598" s="17"/>
      <c r="K598" s="17"/>
    </row>
    <row r="599" spans="5:11" x14ac:dyDescent="0.2">
      <c r="E599" s="10"/>
      <c r="F599" s="53"/>
      <c r="G599" s="9"/>
      <c r="J599" s="17"/>
      <c r="K599" s="17"/>
    </row>
    <row r="600" spans="5:11" x14ac:dyDescent="0.2">
      <c r="E600" s="10"/>
      <c r="F600" s="53"/>
      <c r="G600" s="9"/>
      <c r="J600" s="17"/>
      <c r="K600" s="17"/>
    </row>
    <row r="601" spans="5:11" x14ac:dyDescent="0.2">
      <c r="E601" s="10"/>
      <c r="F601" s="53"/>
      <c r="G601" s="9"/>
      <c r="J601" s="17"/>
      <c r="K601" s="17"/>
    </row>
    <row r="602" spans="5:11" x14ac:dyDescent="0.2">
      <c r="E602" s="10"/>
      <c r="F602" s="53"/>
      <c r="G602" s="9"/>
      <c r="J602" s="17"/>
      <c r="K602" s="17"/>
    </row>
    <row r="603" spans="5:11" x14ac:dyDescent="0.2">
      <c r="E603" s="10"/>
      <c r="F603" s="53"/>
      <c r="G603" s="9"/>
      <c r="J603" s="17"/>
      <c r="K603" s="17"/>
    </row>
    <row r="604" spans="5:11" x14ac:dyDescent="0.2">
      <c r="E604" s="10"/>
      <c r="F604" s="53"/>
      <c r="G604" s="9"/>
      <c r="J604" s="17"/>
      <c r="K604" s="17"/>
    </row>
    <row r="605" spans="5:11" x14ac:dyDescent="0.2">
      <c r="E605" s="10"/>
      <c r="F605" s="53"/>
      <c r="G605" s="9"/>
      <c r="J605" s="17"/>
      <c r="K605" s="17"/>
    </row>
    <row r="606" spans="5:11" x14ac:dyDescent="0.2">
      <c r="E606" s="10"/>
      <c r="F606" s="53"/>
      <c r="G606" s="9"/>
      <c r="J606" s="17"/>
      <c r="K606" s="17"/>
    </row>
    <row r="607" spans="5:11" x14ac:dyDescent="0.2">
      <c r="E607" s="10"/>
      <c r="F607" s="53"/>
      <c r="G607" s="9"/>
      <c r="J607" s="17"/>
      <c r="K607" s="17"/>
    </row>
    <row r="608" spans="5:11" x14ac:dyDescent="0.2">
      <c r="E608" s="10"/>
      <c r="F608" s="53"/>
      <c r="G608" s="9"/>
      <c r="J608" s="17"/>
      <c r="K608" s="17"/>
    </row>
    <row r="609" spans="5:11" x14ac:dyDescent="0.2">
      <c r="E609" s="10"/>
      <c r="F609" s="53"/>
      <c r="G609" s="9"/>
      <c r="J609" s="17"/>
      <c r="K609" s="17"/>
    </row>
    <row r="610" spans="5:11" x14ac:dyDescent="0.2">
      <c r="E610" s="10"/>
      <c r="F610" s="53"/>
      <c r="G610" s="9"/>
      <c r="J610" s="17"/>
      <c r="K610" s="17"/>
    </row>
    <row r="611" spans="5:11" x14ac:dyDescent="0.2">
      <c r="E611" s="10"/>
      <c r="F611" s="53"/>
      <c r="G611" s="9"/>
      <c r="J611" s="17"/>
      <c r="K611" s="17"/>
    </row>
    <row r="612" spans="5:11" x14ac:dyDescent="0.2">
      <c r="E612" s="10"/>
      <c r="F612" s="53"/>
      <c r="G612" s="9"/>
      <c r="J612" s="17"/>
      <c r="K612" s="17"/>
    </row>
    <row r="613" spans="5:11" x14ac:dyDescent="0.2">
      <c r="E613" s="10"/>
      <c r="F613" s="53"/>
      <c r="G613" s="9"/>
      <c r="J613" s="17"/>
      <c r="K613" s="17"/>
    </row>
    <row r="614" spans="5:11" x14ac:dyDescent="0.2">
      <c r="E614" s="10"/>
      <c r="F614" s="53"/>
      <c r="G614" s="9"/>
      <c r="J614" s="17"/>
      <c r="K614" s="17"/>
    </row>
    <row r="615" spans="5:11" x14ac:dyDescent="0.2">
      <c r="E615" s="10"/>
      <c r="F615" s="53"/>
      <c r="G615" s="9"/>
      <c r="J615" s="17"/>
      <c r="K615" s="17"/>
    </row>
    <row r="616" spans="5:11" x14ac:dyDescent="0.2">
      <c r="E616" s="10"/>
      <c r="F616" s="53"/>
      <c r="G616" s="9"/>
      <c r="J616" s="17"/>
      <c r="K616" s="17"/>
    </row>
    <row r="617" spans="5:11" x14ac:dyDescent="0.2">
      <c r="E617" s="10"/>
      <c r="F617" s="53"/>
      <c r="G617" s="9"/>
      <c r="J617" s="17"/>
      <c r="K617" s="17"/>
    </row>
    <row r="618" spans="5:11" x14ac:dyDescent="0.2">
      <c r="E618" s="10"/>
      <c r="F618" s="53"/>
      <c r="G618" s="9"/>
      <c r="J618" s="17"/>
      <c r="K618" s="17"/>
    </row>
    <row r="619" spans="5:11" x14ac:dyDescent="0.2">
      <c r="E619" s="10"/>
      <c r="F619" s="53"/>
      <c r="G619" s="9"/>
      <c r="J619" s="17"/>
      <c r="K619" s="17"/>
    </row>
    <row r="620" spans="5:11" x14ac:dyDescent="0.2">
      <c r="E620" s="10"/>
      <c r="F620" s="53"/>
      <c r="G620" s="9"/>
      <c r="J620" s="17"/>
      <c r="K620" s="17"/>
    </row>
    <row r="621" spans="5:11" x14ac:dyDescent="0.2">
      <c r="E621" s="10"/>
      <c r="F621" s="53"/>
      <c r="G621" s="9"/>
      <c r="J621" s="17"/>
      <c r="K621" s="17"/>
    </row>
    <row r="622" spans="5:11" x14ac:dyDescent="0.2">
      <c r="E622" s="10"/>
      <c r="F622" s="53"/>
      <c r="G622" s="9"/>
      <c r="J622" s="17"/>
      <c r="K622" s="17"/>
    </row>
    <row r="623" spans="5:11" x14ac:dyDescent="0.2">
      <c r="E623" s="10"/>
      <c r="F623" s="53"/>
      <c r="G623" s="9"/>
      <c r="J623" s="17"/>
      <c r="K623" s="17"/>
    </row>
    <row r="624" spans="5:11" x14ac:dyDescent="0.2">
      <c r="E624" s="10"/>
      <c r="F624" s="53"/>
      <c r="G624" s="9"/>
      <c r="J624" s="17"/>
      <c r="K624" s="17"/>
    </row>
    <row r="625" spans="5:11" x14ac:dyDescent="0.2">
      <c r="E625" s="10"/>
      <c r="F625" s="53"/>
      <c r="G625" s="9"/>
      <c r="J625" s="17"/>
      <c r="K625" s="17"/>
    </row>
    <row r="626" spans="5:11" x14ac:dyDescent="0.2">
      <c r="E626" s="10"/>
      <c r="F626" s="53"/>
      <c r="G626" s="9"/>
      <c r="J626" s="17"/>
      <c r="K626" s="17"/>
    </row>
    <row r="627" spans="5:11" x14ac:dyDescent="0.2">
      <c r="E627" s="10"/>
      <c r="F627" s="53"/>
      <c r="G627" s="9"/>
      <c r="J627" s="17"/>
      <c r="K627" s="17"/>
    </row>
    <row r="628" spans="5:11" x14ac:dyDescent="0.2">
      <c r="E628" s="10"/>
      <c r="F628" s="53"/>
      <c r="G628" s="9"/>
      <c r="J628" s="17"/>
      <c r="K628" s="17"/>
    </row>
    <row r="629" spans="5:11" x14ac:dyDescent="0.2">
      <c r="E629" s="10"/>
      <c r="F629" s="53"/>
      <c r="G629" s="9"/>
      <c r="J629" s="17"/>
      <c r="K629" s="17"/>
    </row>
    <row r="630" spans="5:11" x14ac:dyDescent="0.2">
      <c r="E630" s="10"/>
      <c r="F630" s="53"/>
      <c r="G630" s="9"/>
      <c r="J630" s="17"/>
      <c r="K630" s="17"/>
    </row>
    <row r="631" spans="5:11" x14ac:dyDescent="0.2">
      <c r="E631" s="10"/>
      <c r="F631" s="53"/>
      <c r="G631" s="9"/>
      <c r="J631" s="17"/>
      <c r="K631" s="17"/>
    </row>
    <row r="632" spans="5:11" x14ac:dyDescent="0.2">
      <c r="E632" s="10"/>
      <c r="F632" s="53"/>
      <c r="G632" s="9"/>
      <c r="J632" s="17"/>
      <c r="K632" s="17"/>
    </row>
    <row r="633" spans="5:11" x14ac:dyDescent="0.2">
      <c r="E633" s="10"/>
      <c r="F633" s="53"/>
      <c r="G633" s="9"/>
      <c r="J633" s="17"/>
      <c r="K633" s="17"/>
    </row>
    <row r="634" spans="5:11" x14ac:dyDescent="0.2">
      <c r="E634" s="10"/>
      <c r="F634" s="53"/>
      <c r="G634" s="9"/>
      <c r="J634" s="17"/>
      <c r="K634" s="17"/>
    </row>
    <row r="635" spans="5:11" x14ac:dyDescent="0.2">
      <c r="E635" s="10"/>
      <c r="F635" s="53"/>
      <c r="G635" s="9"/>
      <c r="J635" s="17"/>
      <c r="K635" s="17"/>
    </row>
    <row r="636" spans="5:11" x14ac:dyDescent="0.2">
      <c r="E636" s="10"/>
      <c r="F636" s="53"/>
      <c r="G636" s="9"/>
      <c r="J636" s="17"/>
      <c r="K636" s="17"/>
    </row>
    <row r="637" spans="5:11" x14ac:dyDescent="0.2">
      <c r="E637" s="10"/>
      <c r="F637" s="53"/>
      <c r="G637" s="9"/>
      <c r="J637" s="17"/>
      <c r="K637" s="17"/>
    </row>
    <row r="638" spans="5:11" x14ac:dyDescent="0.2">
      <c r="E638" s="10"/>
      <c r="F638" s="53"/>
      <c r="G638" s="9"/>
      <c r="J638" s="17"/>
      <c r="K638" s="17"/>
    </row>
    <row r="639" spans="5:11" x14ac:dyDescent="0.2">
      <c r="E639" s="10"/>
      <c r="F639" s="53"/>
      <c r="G639" s="9"/>
      <c r="J639" s="17"/>
      <c r="K639" s="17"/>
    </row>
    <row r="640" spans="5:11" x14ac:dyDescent="0.2">
      <c r="E640" s="10"/>
      <c r="F640" s="53"/>
      <c r="G640" s="9"/>
      <c r="J640" s="17"/>
      <c r="K640" s="17"/>
    </row>
    <row r="641" spans="5:11" x14ac:dyDescent="0.2">
      <c r="E641" s="10"/>
      <c r="F641" s="53"/>
      <c r="G641" s="9"/>
      <c r="J641" s="17"/>
      <c r="K641" s="17"/>
    </row>
    <row r="642" spans="5:11" x14ac:dyDescent="0.2">
      <c r="E642" s="10"/>
      <c r="F642" s="53"/>
      <c r="G642" s="9"/>
      <c r="J642" s="17"/>
      <c r="K642" s="17"/>
    </row>
    <row r="643" spans="5:11" x14ac:dyDescent="0.2">
      <c r="E643" s="10"/>
      <c r="F643" s="53"/>
      <c r="G643" s="9"/>
      <c r="J643" s="17"/>
      <c r="K643" s="17"/>
    </row>
    <row r="644" spans="5:11" x14ac:dyDescent="0.2">
      <c r="E644" s="10"/>
      <c r="F644" s="53"/>
      <c r="G644" s="9"/>
      <c r="J644" s="17"/>
      <c r="K644" s="17"/>
    </row>
    <row r="645" spans="5:11" x14ac:dyDescent="0.2">
      <c r="E645" s="10"/>
      <c r="F645" s="53"/>
      <c r="G645" s="9"/>
      <c r="J645" s="17"/>
      <c r="K645" s="17"/>
    </row>
    <row r="646" spans="5:11" x14ac:dyDescent="0.2">
      <c r="E646" s="10"/>
      <c r="F646" s="53"/>
      <c r="G646" s="9"/>
      <c r="J646" s="17"/>
      <c r="K646" s="17"/>
    </row>
    <row r="647" spans="5:11" x14ac:dyDescent="0.2">
      <c r="E647" s="10"/>
      <c r="F647" s="53"/>
      <c r="G647" s="9"/>
      <c r="J647" s="17"/>
      <c r="K647" s="17"/>
    </row>
    <row r="648" spans="5:11" x14ac:dyDescent="0.2">
      <c r="E648" s="10"/>
      <c r="F648" s="53"/>
      <c r="G648" s="9"/>
      <c r="J648" s="17"/>
      <c r="K648" s="17"/>
    </row>
    <row r="649" spans="5:11" x14ac:dyDescent="0.2">
      <c r="E649" s="10"/>
      <c r="F649" s="53"/>
      <c r="G649" s="9"/>
      <c r="J649" s="17"/>
      <c r="K649" s="17"/>
    </row>
    <row r="650" spans="5:11" x14ac:dyDescent="0.2">
      <c r="E650" s="10"/>
      <c r="F650" s="53"/>
      <c r="G650" s="9"/>
      <c r="J650" s="17"/>
      <c r="K650" s="17"/>
    </row>
    <row r="651" spans="5:11" x14ac:dyDescent="0.2">
      <c r="E651" s="10"/>
      <c r="F651" s="53"/>
      <c r="G651" s="9"/>
      <c r="J651" s="17"/>
      <c r="K651" s="17"/>
    </row>
    <row r="652" spans="5:11" x14ac:dyDescent="0.2">
      <c r="E652" s="10"/>
      <c r="F652" s="53"/>
      <c r="G652" s="9"/>
      <c r="J652" s="17"/>
      <c r="K652" s="17"/>
    </row>
    <row r="653" spans="5:11" x14ac:dyDescent="0.2">
      <c r="E653" s="10"/>
      <c r="F653" s="53"/>
      <c r="G653" s="9"/>
      <c r="J653" s="17"/>
      <c r="K653" s="17"/>
    </row>
    <row r="654" spans="5:11" x14ac:dyDescent="0.2">
      <c r="E654" s="10"/>
      <c r="F654" s="53"/>
      <c r="G654" s="9"/>
      <c r="J654" s="17"/>
      <c r="K654" s="17"/>
    </row>
    <row r="655" spans="5:11" x14ac:dyDescent="0.2">
      <c r="E655" s="10"/>
      <c r="F655" s="53"/>
      <c r="G655" s="9"/>
      <c r="J655" s="17"/>
      <c r="K655" s="17"/>
    </row>
    <row r="656" spans="5:11" x14ac:dyDescent="0.2">
      <c r="E656" s="10"/>
      <c r="F656" s="53"/>
      <c r="G656" s="9"/>
      <c r="J656" s="17"/>
      <c r="K656" s="17"/>
    </row>
    <row r="657" spans="5:11" x14ac:dyDescent="0.2">
      <c r="E657" s="10"/>
      <c r="F657" s="53"/>
      <c r="G657" s="9"/>
      <c r="J657" s="17"/>
      <c r="K657" s="17"/>
    </row>
    <row r="658" spans="5:11" x14ac:dyDescent="0.2">
      <c r="E658" s="10"/>
      <c r="F658" s="53"/>
      <c r="G658" s="9"/>
      <c r="J658" s="17"/>
      <c r="K658" s="17"/>
    </row>
    <row r="659" spans="5:11" x14ac:dyDescent="0.2">
      <c r="E659" s="10"/>
      <c r="F659" s="53"/>
      <c r="G659" s="9"/>
      <c r="J659" s="17"/>
      <c r="K659" s="17"/>
    </row>
    <row r="660" spans="5:11" x14ac:dyDescent="0.2">
      <c r="E660" s="10"/>
      <c r="F660" s="53"/>
      <c r="G660" s="9"/>
      <c r="J660" s="17"/>
      <c r="K660" s="17"/>
    </row>
    <row r="661" spans="5:11" x14ac:dyDescent="0.2">
      <c r="E661" s="10"/>
      <c r="F661" s="53"/>
      <c r="G661" s="9"/>
      <c r="J661" s="17"/>
      <c r="K661" s="17"/>
    </row>
    <row r="662" spans="5:11" x14ac:dyDescent="0.2">
      <c r="E662" s="10"/>
      <c r="F662" s="53"/>
      <c r="G662" s="9"/>
      <c r="J662" s="17"/>
      <c r="K662" s="17"/>
    </row>
    <row r="663" spans="5:11" x14ac:dyDescent="0.2">
      <c r="E663" s="10"/>
      <c r="F663" s="53"/>
      <c r="G663" s="9"/>
      <c r="J663" s="17"/>
      <c r="K663" s="17"/>
    </row>
    <row r="664" spans="5:11" x14ac:dyDescent="0.2">
      <c r="E664" s="10"/>
      <c r="F664" s="53"/>
      <c r="G664" s="9"/>
      <c r="J664" s="17"/>
      <c r="K664" s="17"/>
    </row>
    <row r="665" spans="5:11" x14ac:dyDescent="0.2">
      <c r="E665" s="10"/>
      <c r="F665" s="53"/>
      <c r="G665" s="9"/>
      <c r="J665" s="17"/>
      <c r="K665" s="17"/>
    </row>
    <row r="666" spans="5:11" x14ac:dyDescent="0.2">
      <c r="E666" s="10"/>
      <c r="F666" s="53"/>
      <c r="G666" s="9"/>
      <c r="J666" s="17"/>
      <c r="K666" s="17"/>
    </row>
    <row r="667" spans="5:11" x14ac:dyDescent="0.2">
      <c r="E667" s="10"/>
      <c r="F667" s="53"/>
      <c r="G667" s="9"/>
      <c r="J667" s="17"/>
      <c r="K667" s="17"/>
    </row>
    <row r="668" spans="5:11" x14ac:dyDescent="0.2">
      <c r="E668" s="10"/>
      <c r="F668" s="53"/>
      <c r="G668" s="9"/>
      <c r="J668" s="17"/>
      <c r="K668" s="17"/>
    </row>
    <row r="669" spans="5:11" x14ac:dyDescent="0.2">
      <c r="E669" s="10"/>
      <c r="F669" s="53"/>
      <c r="G669" s="9"/>
      <c r="J669" s="17"/>
      <c r="K669" s="17"/>
    </row>
    <row r="670" spans="5:11" x14ac:dyDescent="0.2">
      <c r="E670" s="10"/>
      <c r="F670" s="53"/>
      <c r="G670" s="9"/>
      <c r="J670" s="17"/>
      <c r="K670" s="17"/>
    </row>
    <row r="671" spans="5:11" x14ac:dyDescent="0.2">
      <c r="E671" s="10"/>
      <c r="F671" s="53"/>
      <c r="G671" s="9"/>
      <c r="J671" s="17"/>
      <c r="K671" s="17"/>
    </row>
    <row r="672" spans="5:11" x14ac:dyDescent="0.2">
      <c r="E672" s="10"/>
      <c r="F672" s="53"/>
      <c r="G672" s="9"/>
      <c r="J672" s="17"/>
      <c r="K672" s="17"/>
    </row>
    <row r="673" spans="5:11" x14ac:dyDescent="0.2">
      <c r="E673" s="10"/>
      <c r="F673" s="53"/>
      <c r="G673" s="9"/>
      <c r="J673" s="17"/>
      <c r="K673" s="17"/>
    </row>
    <row r="674" spans="5:11" x14ac:dyDescent="0.2">
      <c r="E674" s="10"/>
      <c r="F674" s="53"/>
      <c r="G674" s="9"/>
      <c r="J674" s="17"/>
      <c r="K674" s="17"/>
    </row>
    <row r="675" spans="5:11" x14ac:dyDescent="0.2">
      <c r="E675" s="10"/>
      <c r="F675" s="53"/>
      <c r="G675" s="9"/>
      <c r="J675" s="17"/>
      <c r="K675" s="17"/>
    </row>
    <row r="676" spans="5:11" x14ac:dyDescent="0.2">
      <c r="E676" s="10"/>
      <c r="F676" s="53"/>
      <c r="G676" s="9"/>
      <c r="J676" s="17"/>
      <c r="K676" s="17"/>
    </row>
    <row r="677" spans="5:11" x14ac:dyDescent="0.2">
      <c r="J677" s="17"/>
      <c r="K677" s="17"/>
    </row>
    <row r="678" spans="5:11" ht="12.75" x14ac:dyDescent="0.2">
      <c r="E678" s="54"/>
      <c r="F678" s="55"/>
      <c r="G678" s="56">
        <f>SUM(G9:G677)</f>
        <v>0</v>
      </c>
    </row>
  </sheetData>
  <mergeCells count="5">
    <mergeCell ref="I3:K3"/>
    <mergeCell ref="M3:M4"/>
    <mergeCell ref="B3:B4"/>
    <mergeCell ref="C3:C4"/>
    <mergeCell ref="E3:G3"/>
  </mergeCells>
  <dataValidations disablePrompts="1" count="2">
    <dataValidation type="list" allowBlank="1" showInputMessage="1" showErrorMessage="1" sqref="B9:C676" xr:uid="{C6E65FA2-B322-47C7-8A04-6F3B762AFEB0}">
      <formula1>Compadjust</formula1>
    </dataValidation>
    <dataValidation type="list" allowBlank="1" showInputMessage="1" showErrorMessage="1" sqref="M20:M22 L27:L675 M58:M675 L9:L23 L24:M25" xr:uid="{BB674E16-A40F-4152-9B9A-F35718377390}">
      <formula1>Taxes</formula1>
    </dataValidation>
  </dataValidations>
  <pageMargins left="0.7" right="0.7" top="0.75" bottom="0.75" header="0.3" footer="0.3"/>
  <pageSetup paperSize="9" orientation="portrait" horizontalDpi="300"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3F5D9-80D2-46A9-9ABA-6DFAFDF1B299}">
  <dimension ref="A1:M677"/>
  <sheetViews>
    <sheetView showGridLines="0" zoomScale="85" zoomScaleNormal="85" workbookViewId="0">
      <selection activeCell="B10" sqref="B10"/>
    </sheetView>
  </sheetViews>
  <sheetFormatPr defaultColWidth="11.56640625" defaultRowHeight="10.5" x14ac:dyDescent="0.2"/>
  <cols>
    <col min="1" max="1" width="3.62890625" style="17" bestFit="1" customWidth="1"/>
    <col min="2" max="2" width="30.9375" style="13" customWidth="1"/>
    <col min="3" max="3" width="12.64453125" style="13" customWidth="1"/>
    <col min="4" max="4" width="0.94140625" style="13" customWidth="1"/>
    <col min="5" max="5" width="15.6015625" style="13" customWidth="1"/>
    <col min="6" max="6" width="12.64453125" style="10" customWidth="1"/>
    <col min="7" max="7" width="17.3515625" style="13" bestFit="1" customWidth="1"/>
    <col min="8" max="8" width="0.94140625" style="13" customWidth="1"/>
    <col min="9" max="9" width="16.94921875" style="13" bestFit="1" customWidth="1"/>
    <col min="10" max="10" width="12.375" style="13" bestFit="1" customWidth="1"/>
    <col min="11" max="11" width="16.94921875" style="13" bestFit="1" customWidth="1"/>
    <col min="12" max="12" width="0.94140625" style="13" customWidth="1"/>
    <col min="13" max="13" width="17.08203125" style="13" bestFit="1" customWidth="1"/>
    <col min="14" max="16384" width="11.56640625" style="13"/>
  </cols>
  <sheetData>
    <row r="1" spans="2:13" x14ac:dyDescent="0.2">
      <c r="B1" s="12" t="s">
        <v>3380</v>
      </c>
      <c r="C1" s="12"/>
      <c r="E1" s="14" t="s">
        <v>56</v>
      </c>
      <c r="F1" s="12" t="s">
        <v>3381</v>
      </c>
      <c r="G1" s="15">
        <v>470438169</v>
      </c>
      <c r="J1" s="12" t="s">
        <v>3382</v>
      </c>
      <c r="K1" s="16">
        <v>2021</v>
      </c>
    </row>
    <row r="2" spans="2:13" x14ac:dyDescent="0.2">
      <c r="B2" s="15"/>
      <c r="C2" s="15"/>
      <c r="F2" s="13"/>
      <c r="J2" s="21"/>
      <c r="M2" s="22"/>
    </row>
    <row r="3" spans="2:13" ht="13.5" customHeight="1" x14ac:dyDescent="0.2">
      <c r="B3" s="427" t="s">
        <v>3383</v>
      </c>
      <c r="C3" s="427" t="s">
        <v>3384</v>
      </c>
      <c r="E3" s="425" t="s">
        <v>3385</v>
      </c>
      <c r="F3" s="426"/>
      <c r="G3" s="427"/>
      <c r="I3" s="425" t="s">
        <v>3386</v>
      </c>
      <c r="J3" s="426"/>
      <c r="K3" s="427"/>
      <c r="M3" s="426" t="s">
        <v>3387</v>
      </c>
    </row>
    <row r="4" spans="2:13" ht="11.25" thickBot="1" x14ac:dyDescent="0.25">
      <c r="B4" s="430"/>
      <c r="C4" s="430"/>
      <c r="E4" s="18" t="s">
        <v>3388</v>
      </c>
      <c r="F4" s="19" t="s">
        <v>3389</v>
      </c>
      <c r="G4" s="27" t="s">
        <v>3390</v>
      </c>
      <c r="I4" s="18" t="s">
        <v>3388</v>
      </c>
      <c r="J4" s="19" t="s">
        <v>3389</v>
      </c>
      <c r="K4" s="27" t="s">
        <v>3390</v>
      </c>
      <c r="M4" s="428"/>
    </row>
    <row r="5" spans="2:13" ht="13.5" customHeight="1" x14ac:dyDescent="0.2">
      <c r="B5" s="193" t="s">
        <v>3391</v>
      </c>
      <c r="C5" s="24"/>
      <c r="E5" s="25">
        <f>SUM(E6:E6)</f>
        <v>0</v>
      </c>
      <c r="F5" s="25">
        <f>SUM(F6:F6)</f>
        <v>0</v>
      </c>
      <c r="G5" s="25">
        <f>SUM(G6:G6)</f>
        <v>0</v>
      </c>
      <c r="I5" s="25">
        <f>SUM(I6:I6)</f>
        <v>5494113600</v>
      </c>
      <c r="J5" s="25">
        <f>SUM(J6:J6)</f>
        <v>0</v>
      </c>
      <c r="K5" s="25">
        <f>SUM(K6:K6)</f>
        <v>5494113600</v>
      </c>
      <c r="M5" s="25">
        <f>SUM(M6:M6)</f>
        <v>-5494113600</v>
      </c>
    </row>
    <row r="6" spans="2:13" ht="28.5" x14ac:dyDescent="0.1">
      <c r="B6" s="29" t="s">
        <v>3410</v>
      </c>
      <c r="C6" s="17" t="s">
        <v>407</v>
      </c>
      <c r="E6" s="9">
        <v>0</v>
      </c>
      <c r="F6" s="9">
        <v>0</v>
      </c>
      <c r="G6" s="9">
        <v>0</v>
      </c>
      <c r="I6" s="9">
        <v>5494113600</v>
      </c>
      <c r="J6" s="9">
        <v>0</v>
      </c>
      <c r="K6" s="9">
        <v>5494113600</v>
      </c>
      <c r="M6" s="9">
        <f>G6-K6</f>
        <v>-5494113600</v>
      </c>
    </row>
    <row r="7" spans="2:13" x14ac:dyDescent="0.2">
      <c r="B7" s="33" t="s">
        <v>3399</v>
      </c>
      <c r="C7" s="33"/>
      <c r="E7" s="34">
        <f>E5</f>
        <v>0</v>
      </c>
      <c r="F7" s="34">
        <f t="shared" ref="F7:G7" si="0">F5</f>
        <v>0</v>
      </c>
      <c r="G7" s="34">
        <f t="shared" si="0"/>
        <v>0</v>
      </c>
      <c r="H7" s="21"/>
      <c r="I7" s="186">
        <f t="shared" ref="I7:K7" si="1">I5</f>
        <v>5494113600</v>
      </c>
      <c r="J7" s="186">
        <f t="shared" si="1"/>
        <v>0</v>
      </c>
      <c r="K7" s="186">
        <f t="shared" si="1"/>
        <v>5494113600</v>
      </c>
      <c r="L7" s="187"/>
      <c r="M7" s="186">
        <f t="shared" ref="M7" si="2">M5</f>
        <v>-5494113600</v>
      </c>
    </row>
    <row r="8" spans="2:13" x14ac:dyDescent="0.2">
      <c r="B8" s="15"/>
      <c r="C8" s="15"/>
      <c r="F8" s="32"/>
      <c r="G8" s="32"/>
      <c r="I8" s="32"/>
      <c r="J8" s="32"/>
      <c r="K8" s="32"/>
      <c r="M8" s="32"/>
    </row>
    <row r="9" spans="2:13" x14ac:dyDescent="0.1">
      <c r="E9" s="30"/>
      <c r="F9" s="37"/>
      <c r="G9" s="38"/>
      <c r="I9" s="39"/>
      <c r="J9" s="17"/>
      <c r="K9" s="17"/>
    </row>
    <row r="10" spans="2:13" ht="12.75" x14ac:dyDescent="0.1">
      <c r="B10" s="363" t="s">
        <v>3409</v>
      </c>
      <c r="E10" s="30"/>
      <c r="F10" s="42"/>
      <c r="G10" s="38"/>
      <c r="I10" s="39"/>
      <c r="J10" s="17"/>
      <c r="K10" s="17"/>
    </row>
    <row r="11" spans="2:13" x14ac:dyDescent="0.1">
      <c r="E11" s="30"/>
      <c r="F11" s="42"/>
      <c r="G11" s="38"/>
      <c r="I11" s="39"/>
      <c r="J11" s="17"/>
      <c r="K11" s="17"/>
    </row>
    <row r="12" spans="2:13" x14ac:dyDescent="0.1">
      <c r="E12" s="30"/>
      <c r="F12" s="42"/>
      <c r="G12" s="38"/>
      <c r="I12" s="39"/>
      <c r="J12" s="17"/>
      <c r="K12" s="17"/>
    </row>
    <row r="13" spans="2:13" x14ac:dyDescent="0.1">
      <c r="E13" s="30"/>
      <c r="F13" s="42"/>
      <c r="G13" s="38"/>
      <c r="I13" s="39"/>
      <c r="J13" s="17"/>
      <c r="K13" s="17"/>
    </row>
    <row r="14" spans="2:13" x14ac:dyDescent="0.1">
      <c r="E14" s="30"/>
      <c r="F14" s="42"/>
      <c r="G14" s="38"/>
      <c r="I14" s="39"/>
      <c r="J14" s="17"/>
      <c r="K14" s="17"/>
    </row>
    <row r="15" spans="2:13" x14ac:dyDescent="0.1">
      <c r="E15" s="30"/>
      <c r="F15" s="42"/>
      <c r="G15" s="38"/>
      <c r="I15" s="39"/>
      <c r="J15" s="17"/>
      <c r="K15" s="17"/>
    </row>
    <row r="16" spans="2:13" x14ac:dyDescent="0.1">
      <c r="E16" s="30"/>
      <c r="F16" s="42"/>
      <c r="G16" s="38"/>
      <c r="I16" s="39"/>
      <c r="J16" s="17"/>
      <c r="K16" s="17"/>
    </row>
    <row r="17" spans="5:13" x14ac:dyDescent="0.1">
      <c r="E17" s="30"/>
      <c r="F17" s="42"/>
      <c r="G17" s="38"/>
      <c r="I17" s="39"/>
      <c r="J17" s="17"/>
      <c r="K17" s="17"/>
    </row>
    <row r="18" spans="5:13" x14ac:dyDescent="0.1">
      <c r="E18" s="30"/>
      <c r="F18" s="42"/>
      <c r="G18" s="38"/>
      <c r="I18" s="39"/>
      <c r="J18" s="17"/>
      <c r="K18" s="17"/>
    </row>
    <row r="19" spans="5:13" x14ac:dyDescent="0.1">
      <c r="E19" s="30"/>
      <c r="F19" s="42"/>
      <c r="G19" s="38"/>
      <c r="I19" s="39"/>
      <c r="J19" s="17"/>
      <c r="K19" s="17"/>
    </row>
    <row r="20" spans="5:13" x14ac:dyDescent="0.1">
      <c r="E20" s="30"/>
      <c r="F20" s="42"/>
      <c r="G20" s="38"/>
      <c r="I20" s="39"/>
      <c r="J20" s="17"/>
      <c r="K20" s="17"/>
    </row>
    <row r="21" spans="5:13" x14ac:dyDescent="0.1">
      <c r="E21" s="30"/>
      <c r="F21" s="42"/>
      <c r="G21" s="46"/>
      <c r="J21" s="17"/>
      <c r="K21" s="17"/>
      <c r="M21" s="47"/>
    </row>
    <row r="22" spans="5:13" x14ac:dyDescent="0.1">
      <c r="E22" s="30"/>
      <c r="F22" s="42"/>
      <c r="G22" s="50"/>
      <c r="J22" s="17"/>
      <c r="K22" s="17"/>
      <c r="M22" s="17"/>
    </row>
    <row r="23" spans="5:13" x14ac:dyDescent="0.1">
      <c r="E23" s="30"/>
      <c r="F23" s="42"/>
      <c r="G23" s="50"/>
      <c r="J23" s="17"/>
      <c r="K23" s="17"/>
      <c r="M23" s="47"/>
    </row>
    <row r="24" spans="5:13" x14ac:dyDescent="0.1">
      <c r="E24" s="30"/>
      <c r="F24" s="42"/>
      <c r="G24" s="50"/>
      <c r="J24" s="17"/>
      <c r="K24" s="17"/>
      <c r="M24" s="47"/>
    </row>
    <row r="25" spans="5:13" x14ac:dyDescent="0.1">
      <c r="E25" s="30"/>
      <c r="F25" s="42"/>
      <c r="G25" s="50"/>
      <c r="J25" s="17"/>
      <c r="K25" s="17"/>
    </row>
    <row r="26" spans="5:13" x14ac:dyDescent="0.1">
      <c r="E26" s="30"/>
      <c r="F26" s="42"/>
      <c r="G26" s="50"/>
      <c r="J26" s="17"/>
      <c r="K26" s="17"/>
    </row>
    <row r="27" spans="5:13" x14ac:dyDescent="0.1">
      <c r="E27" s="30"/>
      <c r="F27" s="42"/>
      <c r="G27" s="50"/>
      <c r="J27" s="17"/>
      <c r="K27" s="17"/>
    </row>
    <row r="28" spans="5:13" x14ac:dyDescent="0.1">
      <c r="E28" s="30"/>
      <c r="F28" s="42"/>
      <c r="G28" s="50"/>
      <c r="J28" s="17"/>
      <c r="K28" s="17"/>
    </row>
    <row r="29" spans="5:13" x14ac:dyDescent="0.1">
      <c r="E29" s="30"/>
      <c r="F29" s="42"/>
      <c r="G29" s="50"/>
      <c r="J29" s="17"/>
      <c r="K29" s="17"/>
    </row>
    <row r="30" spans="5:13" x14ac:dyDescent="0.1">
      <c r="E30" s="30"/>
      <c r="F30" s="42"/>
      <c r="G30" s="50"/>
      <c r="J30" s="17"/>
      <c r="K30" s="17"/>
    </row>
    <row r="31" spans="5:13" x14ac:dyDescent="0.1">
      <c r="E31" s="30"/>
      <c r="F31" s="42"/>
      <c r="G31" s="50"/>
      <c r="J31" s="17"/>
      <c r="K31" s="17"/>
    </row>
    <row r="32" spans="5:13" x14ac:dyDescent="0.1">
      <c r="E32" s="30"/>
      <c r="F32" s="42"/>
      <c r="G32" s="50"/>
      <c r="J32" s="17"/>
      <c r="K32" s="17"/>
    </row>
    <row r="33" spans="5:11" x14ac:dyDescent="0.1">
      <c r="E33" s="30"/>
      <c r="F33" s="42"/>
      <c r="G33" s="52"/>
      <c r="J33" s="17"/>
      <c r="K33" s="17"/>
    </row>
    <row r="34" spans="5:11" x14ac:dyDescent="0.1">
      <c r="E34" s="30"/>
      <c r="F34" s="42"/>
      <c r="G34" s="52"/>
      <c r="J34" s="17"/>
      <c r="K34" s="17"/>
    </row>
    <row r="35" spans="5:11" x14ac:dyDescent="0.1">
      <c r="E35" s="30"/>
      <c r="F35" s="42"/>
      <c r="G35" s="52"/>
      <c r="J35" s="17"/>
      <c r="K35" s="17"/>
    </row>
    <row r="36" spans="5:11" x14ac:dyDescent="0.1">
      <c r="E36" s="30"/>
      <c r="F36" s="42"/>
      <c r="G36" s="52"/>
      <c r="J36" s="17"/>
      <c r="K36" s="17"/>
    </row>
    <row r="37" spans="5:11" x14ac:dyDescent="0.1">
      <c r="E37" s="30"/>
      <c r="F37" s="42"/>
      <c r="G37" s="52"/>
      <c r="J37" s="17"/>
      <c r="K37" s="17"/>
    </row>
    <row r="38" spans="5:11" x14ac:dyDescent="0.1">
      <c r="E38" s="30"/>
      <c r="F38" s="42"/>
      <c r="G38" s="52"/>
      <c r="J38" s="17"/>
      <c r="K38" s="17"/>
    </row>
    <row r="39" spans="5:11" x14ac:dyDescent="0.1">
      <c r="E39" s="30"/>
      <c r="F39" s="42"/>
      <c r="G39" s="52"/>
      <c r="J39" s="17"/>
      <c r="K39" s="17"/>
    </row>
    <row r="40" spans="5:11" x14ac:dyDescent="0.1">
      <c r="E40" s="30"/>
      <c r="F40" s="42"/>
      <c r="G40" s="52"/>
      <c r="J40" s="17"/>
      <c r="K40" s="17"/>
    </row>
    <row r="41" spans="5:11" x14ac:dyDescent="0.1">
      <c r="E41" s="30"/>
      <c r="F41" s="42"/>
      <c r="G41" s="52"/>
      <c r="J41" s="17"/>
      <c r="K41" s="17"/>
    </row>
    <row r="42" spans="5:11" x14ac:dyDescent="0.1">
      <c r="E42" s="30"/>
      <c r="F42" s="42"/>
      <c r="G42" s="52"/>
      <c r="J42" s="17"/>
      <c r="K42" s="17"/>
    </row>
    <row r="43" spans="5:11" x14ac:dyDescent="0.1">
      <c r="E43" s="30"/>
      <c r="F43" s="42"/>
      <c r="G43" s="52"/>
      <c r="J43" s="17"/>
      <c r="K43" s="17"/>
    </row>
    <row r="44" spans="5:11" x14ac:dyDescent="0.1">
      <c r="E44" s="30"/>
      <c r="F44" s="42"/>
      <c r="G44" s="52"/>
      <c r="J44" s="17"/>
      <c r="K44" s="17"/>
    </row>
    <row r="45" spans="5:11" x14ac:dyDescent="0.1">
      <c r="E45" s="30"/>
      <c r="F45" s="42"/>
      <c r="G45" s="52"/>
      <c r="J45" s="17"/>
      <c r="K45" s="17"/>
    </row>
    <row r="46" spans="5:11" x14ac:dyDescent="0.1">
      <c r="E46" s="30"/>
      <c r="F46" s="42"/>
      <c r="G46" s="52"/>
      <c r="J46" s="17"/>
      <c r="K46" s="17"/>
    </row>
    <row r="47" spans="5:11" x14ac:dyDescent="0.1">
      <c r="E47" s="30"/>
      <c r="F47" s="42"/>
      <c r="G47" s="52"/>
      <c r="J47" s="17"/>
      <c r="K47" s="17"/>
    </row>
    <row r="48" spans="5:11" x14ac:dyDescent="0.1">
      <c r="E48" s="30"/>
      <c r="F48" s="42"/>
      <c r="G48" s="52"/>
      <c r="J48" s="17"/>
      <c r="K48" s="17"/>
    </row>
    <row r="49" spans="5:11" x14ac:dyDescent="0.1">
      <c r="E49" s="30"/>
      <c r="F49" s="42"/>
      <c r="G49" s="52"/>
      <c r="J49" s="17"/>
      <c r="K49" s="17"/>
    </row>
    <row r="50" spans="5:11" x14ac:dyDescent="0.1">
      <c r="E50" s="30"/>
      <c r="F50" s="42"/>
      <c r="G50" s="52"/>
      <c r="J50" s="17"/>
      <c r="K50" s="17"/>
    </row>
    <row r="51" spans="5:11" x14ac:dyDescent="0.1">
      <c r="E51" s="30"/>
      <c r="F51" s="42"/>
      <c r="G51" s="52"/>
      <c r="J51" s="17"/>
      <c r="K51" s="17"/>
    </row>
    <row r="52" spans="5:11" x14ac:dyDescent="0.1">
      <c r="E52" s="30"/>
      <c r="F52" s="42"/>
      <c r="G52" s="52"/>
      <c r="J52" s="17"/>
      <c r="K52" s="17"/>
    </row>
    <row r="53" spans="5:11" x14ac:dyDescent="0.1">
      <c r="E53" s="30"/>
      <c r="F53" s="42"/>
      <c r="G53" s="52"/>
      <c r="J53" s="17"/>
      <c r="K53" s="17"/>
    </row>
    <row r="54" spans="5:11" x14ac:dyDescent="0.1">
      <c r="E54" s="30"/>
      <c r="F54" s="42"/>
      <c r="G54" s="52"/>
      <c r="J54" s="17"/>
      <c r="K54" s="17"/>
    </row>
    <row r="55" spans="5:11" x14ac:dyDescent="0.1">
      <c r="E55" s="30"/>
      <c r="F55" s="42"/>
      <c r="G55" s="52"/>
      <c r="J55" s="17"/>
      <c r="K55" s="17"/>
    </row>
    <row r="56" spans="5:11" x14ac:dyDescent="0.1">
      <c r="E56" s="30"/>
      <c r="F56" s="42"/>
      <c r="G56" s="52"/>
      <c r="J56" s="17"/>
      <c r="K56" s="17"/>
    </row>
    <row r="57" spans="5:11" x14ac:dyDescent="0.1">
      <c r="E57" s="30"/>
      <c r="F57" s="42"/>
      <c r="G57" s="52"/>
      <c r="J57" s="17"/>
      <c r="K57" s="17"/>
    </row>
    <row r="58" spans="5:11" x14ac:dyDescent="0.1">
      <c r="E58" s="30"/>
      <c r="F58" s="42"/>
      <c r="G58" s="52"/>
      <c r="J58" s="17"/>
      <c r="K58" s="17"/>
    </row>
    <row r="59" spans="5:11" x14ac:dyDescent="0.1">
      <c r="E59" s="30"/>
      <c r="F59" s="42"/>
      <c r="G59" s="52"/>
      <c r="J59" s="17"/>
      <c r="K59" s="17"/>
    </row>
    <row r="60" spans="5:11" x14ac:dyDescent="0.1">
      <c r="E60" s="30"/>
      <c r="F60" s="42"/>
      <c r="G60" s="52"/>
      <c r="J60" s="17"/>
      <c r="K60" s="17"/>
    </row>
    <row r="61" spans="5:11" x14ac:dyDescent="0.1">
      <c r="E61" s="30"/>
      <c r="F61" s="42"/>
      <c r="G61" s="52"/>
      <c r="J61" s="17"/>
      <c r="K61" s="17"/>
    </row>
    <row r="62" spans="5:11" x14ac:dyDescent="0.1">
      <c r="E62" s="30"/>
      <c r="F62" s="42"/>
      <c r="G62" s="52"/>
      <c r="J62" s="17"/>
      <c r="K62" s="17"/>
    </row>
    <row r="63" spans="5:11" x14ac:dyDescent="0.1">
      <c r="E63" s="30"/>
      <c r="F63" s="42"/>
      <c r="G63" s="52"/>
      <c r="J63" s="17"/>
      <c r="K63" s="17"/>
    </row>
    <row r="64" spans="5:11" x14ac:dyDescent="0.1">
      <c r="E64" s="30"/>
      <c r="F64" s="42"/>
      <c r="G64" s="52"/>
      <c r="J64" s="17"/>
      <c r="K64" s="17"/>
    </row>
    <row r="65" spans="5:11" x14ac:dyDescent="0.1">
      <c r="E65" s="30"/>
      <c r="F65" s="42"/>
      <c r="G65" s="52"/>
      <c r="J65" s="17"/>
      <c r="K65" s="17"/>
    </row>
    <row r="66" spans="5:11" x14ac:dyDescent="0.1">
      <c r="E66" s="30"/>
      <c r="F66" s="42"/>
      <c r="G66" s="52"/>
      <c r="J66" s="17"/>
      <c r="K66" s="17"/>
    </row>
    <row r="67" spans="5:11" x14ac:dyDescent="0.1">
      <c r="E67" s="30"/>
      <c r="F67" s="42"/>
      <c r="G67" s="52"/>
      <c r="J67" s="17"/>
      <c r="K67" s="17"/>
    </row>
    <row r="68" spans="5:11" x14ac:dyDescent="0.1">
      <c r="E68" s="30"/>
      <c r="F68" s="42"/>
      <c r="G68" s="52"/>
      <c r="J68" s="17"/>
      <c r="K68" s="17"/>
    </row>
    <row r="69" spans="5:11" x14ac:dyDescent="0.1">
      <c r="E69" s="30"/>
      <c r="F69" s="42"/>
      <c r="G69" s="52"/>
      <c r="J69" s="17"/>
      <c r="K69" s="17"/>
    </row>
    <row r="70" spans="5:11" x14ac:dyDescent="0.1">
      <c r="E70" s="30"/>
      <c r="F70" s="42"/>
      <c r="G70" s="52"/>
      <c r="J70" s="17"/>
      <c r="K70" s="17"/>
    </row>
    <row r="71" spans="5:11" x14ac:dyDescent="0.1">
      <c r="E71" s="30"/>
      <c r="F71" s="42"/>
      <c r="G71" s="52"/>
      <c r="J71" s="17"/>
      <c r="K71" s="17"/>
    </row>
    <row r="72" spans="5:11" x14ac:dyDescent="0.1">
      <c r="E72" s="30"/>
      <c r="F72" s="42"/>
      <c r="G72" s="52"/>
      <c r="J72" s="17"/>
      <c r="K72" s="17"/>
    </row>
    <row r="73" spans="5:11" x14ac:dyDescent="0.1">
      <c r="E73" s="30"/>
      <c r="F73" s="42"/>
      <c r="G73" s="52"/>
      <c r="J73" s="17"/>
      <c r="K73" s="17"/>
    </row>
    <row r="74" spans="5:11" x14ac:dyDescent="0.1">
      <c r="E74" s="30"/>
      <c r="F74" s="42"/>
      <c r="G74" s="52"/>
      <c r="J74" s="17"/>
      <c r="K74" s="17"/>
    </row>
    <row r="75" spans="5:11" x14ac:dyDescent="0.1">
      <c r="E75" s="30"/>
      <c r="F75" s="42"/>
      <c r="G75" s="52"/>
      <c r="J75" s="17"/>
      <c r="K75" s="17"/>
    </row>
    <row r="76" spans="5:11" x14ac:dyDescent="0.1">
      <c r="E76" s="30"/>
      <c r="F76" s="42"/>
      <c r="G76" s="52"/>
      <c r="J76" s="17"/>
      <c r="K76" s="17"/>
    </row>
    <row r="77" spans="5:11" x14ac:dyDescent="0.1">
      <c r="E77" s="30"/>
      <c r="F77" s="42"/>
      <c r="G77" s="52"/>
      <c r="J77" s="17"/>
      <c r="K77" s="17"/>
    </row>
    <row r="78" spans="5:11" x14ac:dyDescent="0.1">
      <c r="E78" s="30"/>
      <c r="F78" s="42"/>
      <c r="G78" s="52"/>
      <c r="J78" s="17"/>
      <c r="K78" s="17"/>
    </row>
    <row r="79" spans="5:11" x14ac:dyDescent="0.1">
      <c r="E79" s="30"/>
      <c r="F79" s="42"/>
      <c r="G79" s="52"/>
      <c r="J79" s="17"/>
      <c r="K79" s="17"/>
    </row>
    <row r="80" spans="5:11" x14ac:dyDescent="0.1">
      <c r="E80" s="30"/>
      <c r="F80" s="42"/>
      <c r="G80" s="52"/>
      <c r="J80" s="17"/>
      <c r="K80" s="17"/>
    </row>
    <row r="81" spans="5:11" x14ac:dyDescent="0.1">
      <c r="E81" s="30"/>
      <c r="F81" s="42"/>
      <c r="G81" s="52"/>
      <c r="J81" s="17"/>
      <c r="K81" s="17"/>
    </row>
    <row r="82" spans="5:11" x14ac:dyDescent="0.1">
      <c r="E82" s="30"/>
      <c r="F82" s="42"/>
      <c r="G82" s="52"/>
      <c r="J82" s="17"/>
      <c r="K82" s="17"/>
    </row>
    <row r="83" spans="5:11" x14ac:dyDescent="0.1">
      <c r="E83" s="30"/>
      <c r="F83" s="42"/>
      <c r="G83" s="52"/>
      <c r="J83" s="17"/>
      <c r="K83" s="17"/>
    </row>
    <row r="84" spans="5:11" x14ac:dyDescent="0.1">
      <c r="E84" s="30"/>
      <c r="F84" s="42"/>
      <c r="G84" s="52"/>
      <c r="J84" s="17"/>
      <c r="K84" s="17"/>
    </row>
    <row r="85" spans="5:11" x14ac:dyDescent="0.1">
      <c r="E85" s="30"/>
      <c r="F85" s="42"/>
      <c r="G85" s="52"/>
      <c r="J85" s="17"/>
      <c r="K85" s="17"/>
    </row>
    <row r="86" spans="5:11" x14ac:dyDescent="0.1">
      <c r="E86" s="30"/>
      <c r="F86" s="42"/>
      <c r="G86" s="52"/>
      <c r="J86" s="17"/>
      <c r="K86" s="17"/>
    </row>
    <row r="87" spans="5:11" x14ac:dyDescent="0.1">
      <c r="E87" s="30"/>
      <c r="F87" s="42"/>
      <c r="G87" s="52"/>
      <c r="J87" s="17"/>
      <c r="K87" s="17"/>
    </row>
    <row r="88" spans="5:11" x14ac:dyDescent="0.1">
      <c r="E88" s="30"/>
      <c r="F88" s="42"/>
      <c r="G88" s="52"/>
      <c r="J88" s="17"/>
      <c r="K88" s="17"/>
    </row>
    <row r="89" spans="5:11" x14ac:dyDescent="0.1">
      <c r="E89" s="30"/>
      <c r="F89" s="42"/>
      <c r="G89" s="52"/>
      <c r="J89" s="17"/>
      <c r="K89" s="17"/>
    </row>
    <row r="90" spans="5:11" x14ac:dyDescent="0.1">
      <c r="E90" s="30"/>
      <c r="F90" s="42"/>
      <c r="G90" s="52"/>
      <c r="J90" s="17"/>
      <c r="K90" s="17"/>
    </row>
    <row r="91" spans="5:11" x14ac:dyDescent="0.1">
      <c r="E91" s="30"/>
      <c r="F91" s="42"/>
      <c r="G91" s="52"/>
      <c r="J91" s="17"/>
      <c r="K91" s="17"/>
    </row>
    <row r="92" spans="5:11" x14ac:dyDescent="0.1">
      <c r="E92" s="30"/>
      <c r="F92" s="42"/>
      <c r="G92" s="52"/>
      <c r="J92" s="17"/>
      <c r="K92" s="17"/>
    </row>
    <row r="93" spans="5:11" x14ac:dyDescent="0.1">
      <c r="E93" s="30"/>
      <c r="F93" s="42"/>
      <c r="G93" s="52"/>
      <c r="J93" s="17"/>
      <c r="K93" s="17"/>
    </row>
    <row r="94" spans="5:11" x14ac:dyDescent="0.1">
      <c r="E94" s="30"/>
      <c r="F94" s="42"/>
      <c r="G94" s="52"/>
      <c r="J94" s="17"/>
      <c r="K94" s="17"/>
    </row>
    <row r="95" spans="5:11" x14ac:dyDescent="0.1">
      <c r="E95" s="30"/>
      <c r="F95" s="42"/>
      <c r="G95" s="52"/>
      <c r="J95" s="17"/>
      <c r="K95" s="17"/>
    </row>
    <row r="96" spans="5:11" x14ac:dyDescent="0.1">
      <c r="E96" s="30"/>
      <c r="F96" s="42"/>
      <c r="G96" s="52"/>
      <c r="J96" s="17"/>
      <c r="K96" s="17"/>
    </row>
    <row r="97" spans="5:11" x14ac:dyDescent="0.1">
      <c r="E97" s="30"/>
      <c r="F97" s="42"/>
      <c r="G97" s="52"/>
      <c r="J97" s="17"/>
      <c r="K97" s="17"/>
    </row>
    <row r="98" spans="5:11" x14ac:dyDescent="0.1">
      <c r="E98" s="30"/>
      <c r="F98" s="42"/>
      <c r="G98" s="52"/>
      <c r="J98" s="17"/>
      <c r="K98" s="17"/>
    </row>
    <row r="99" spans="5:11" x14ac:dyDescent="0.1">
      <c r="E99" s="30"/>
      <c r="F99" s="42"/>
      <c r="G99" s="52"/>
      <c r="J99" s="17"/>
      <c r="K99" s="17"/>
    </row>
    <row r="100" spans="5:11" x14ac:dyDescent="0.1">
      <c r="E100" s="30"/>
      <c r="F100" s="42"/>
      <c r="G100" s="52"/>
      <c r="J100" s="17"/>
      <c r="K100" s="17"/>
    </row>
    <row r="101" spans="5:11" x14ac:dyDescent="0.1">
      <c r="E101" s="30"/>
      <c r="F101" s="42"/>
      <c r="G101" s="52"/>
      <c r="J101" s="17"/>
      <c r="K101" s="17"/>
    </row>
    <row r="102" spans="5:11" x14ac:dyDescent="0.1">
      <c r="E102" s="30"/>
      <c r="F102" s="42"/>
      <c r="G102" s="52"/>
      <c r="J102" s="17"/>
      <c r="K102" s="17"/>
    </row>
    <row r="103" spans="5:11" x14ac:dyDescent="0.1">
      <c r="E103" s="30"/>
      <c r="F103" s="42"/>
      <c r="G103" s="52"/>
      <c r="J103" s="17"/>
      <c r="K103" s="17"/>
    </row>
    <row r="104" spans="5:11" x14ac:dyDescent="0.1">
      <c r="E104" s="30"/>
      <c r="F104" s="42"/>
      <c r="G104" s="52"/>
      <c r="J104" s="17"/>
      <c r="K104" s="17"/>
    </row>
    <row r="105" spans="5:11" x14ac:dyDescent="0.1">
      <c r="E105" s="30"/>
      <c r="F105" s="42"/>
      <c r="G105" s="52"/>
      <c r="J105" s="17"/>
      <c r="K105" s="17"/>
    </row>
    <row r="106" spans="5:11" x14ac:dyDescent="0.1">
      <c r="E106" s="30"/>
      <c r="F106" s="42"/>
      <c r="G106" s="52"/>
      <c r="J106" s="17"/>
      <c r="K106" s="17"/>
    </row>
    <row r="107" spans="5:11" x14ac:dyDescent="0.1">
      <c r="E107" s="30"/>
      <c r="F107" s="42"/>
      <c r="G107" s="52"/>
      <c r="J107" s="17"/>
      <c r="K107" s="17"/>
    </row>
    <row r="108" spans="5:11" x14ac:dyDescent="0.1">
      <c r="E108" s="30"/>
      <c r="F108" s="42"/>
      <c r="G108" s="52"/>
      <c r="J108" s="17"/>
      <c r="K108" s="17"/>
    </row>
    <row r="109" spans="5:11" x14ac:dyDescent="0.1">
      <c r="E109" s="30"/>
      <c r="F109" s="42"/>
      <c r="G109" s="52"/>
      <c r="J109" s="17"/>
      <c r="K109" s="17"/>
    </row>
    <row r="110" spans="5:11" x14ac:dyDescent="0.1">
      <c r="E110" s="30"/>
      <c r="F110" s="42"/>
      <c r="G110" s="52"/>
      <c r="J110" s="17"/>
      <c r="K110" s="17"/>
    </row>
    <row r="111" spans="5:11" x14ac:dyDescent="0.1">
      <c r="E111" s="30"/>
      <c r="F111" s="42"/>
      <c r="G111" s="52"/>
      <c r="J111" s="17"/>
      <c r="K111" s="17"/>
    </row>
    <row r="112" spans="5:11" x14ac:dyDescent="0.1">
      <c r="E112" s="30"/>
      <c r="F112" s="42"/>
      <c r="G112" s="52"/>
      <c r="J112" s="17"/>
      <c r="K112" s="17"/>
    </row>
    <row r="113" spans="5:11" x14ac:dyDescent="0.2">
      <c r="E113" s="10"/>
      <c r="F113" s="53"/>
      <c r="G113" s="35"/>
      <c r="J113" s="17"/>
      <c r="K113" s="17"/>
    </row>
    <row r="114" spans="5:11" x14ac:dyDescent="0.2">
      <c r="E114" s="10"/>
      <c r="F114" s="53"/>
      <c r="G114" s="35"/>
      <c r="J114" s="17"/>
      <c r="K114" s="17"/>
    </row>
    <row r="115" spans="5:11" x14ac:dyDescent="0.2">
      <c r="E115" s="10"/>
      <c r="F115" s="53"/>
      <c r="G115" s="35"/>
      <c r="J115" s="17"/>
      <c r="K115" s="17"/>
    </row>
    <row r="116" spans="5:11" x14ac:dyDescent="0.2">
      <c r="E116" s="10"/>
      <c r="F116" s="53"/>
      <c r="G116" s="35"/>
      <c r="J116" s="17"/>
      <c r="K116" s="17"/>
    </row>
    <row r="117" spans="5:11" x14ac:dyDescent="0.2">
      <c r="E117" s="10"/>
      <c r="F117" s="53"/>
      <c r="G117" s="35"/>
      <c r="J117" s="17"/>
      <c r="K117" s="17"/>
    </row>
    <row r="118" spans="5:11" x14ac:dyDescent="0.2">
      <c r="E118" s="10"/>
      <c r="F118" s="53"/>
      <c r="G118" s="35"/>
      <c r="J118" s="17"/>
      <c r="K118" s="17"/>
    </row>
    <row r="119" spans="5:11" x14ac:dyDescent="0.2">
      <c r="E119" s="10"/>
      <c r="F119" s="53"/>
      <c r="G119" s="35"/>
      <c r="J119" s="17"/>
      <c r="K119" s="17"/>
    </row>
    <row r="120" spans="5:11" x14ac:dyDescent="0.2">
      <c r="E120" s="10"/>
      <c r="F120" s="53"/>
      <c r="G120" s="35"/>
      <c r="J120" s="17"/>
      <c r="K120" s="17"/>
    </row>
    <row r="121" spans="5:11" x14ac:dyDescent="0.2">
      <c r="E121" s="10"/>
      <c r="F121" s="53"/>
      <c r="G121" s="35"/>
      <c r="J121" s="17"/>
      <c r="K121" s="17"/>
    </row>
    <row r="122" spans="5:11" x14ac:dyDescent="0.2">
      <c r="E122" s="10"/>
      <c r="F122" s="53"/>
      <c r="G122" s="35"/>
      <c r="J122" s="17"/>
      <c r="K122" s="17"/>
    </row>
    <row r="123" spans="5:11" x14ac:dyDescent="0.2">
      <c r="E123" s="10"/>
      <c r="F123" s="53"/>
      <c r="G123" s="35"/>
      <c r="J123" s="17"/>
      <c r="K123" s="17"/>
    </row>
    <row r="124" spans="5:11" x14ac:dyDescent="0.2">
      <c r="E124" s="10"/>
      <c r="F124" s="53"/>
      <c r="G124" s="35"/>
      <c r="J124" s="17"/>
      <c r="K124" s="17"/>
    </row>
    <row r="125" spans="5:11" x14ac:dyDescent="0.2">
      <c r="E125" s="10"/>
      <c r="F125" s="53"/>
      <c r="G125" s="35"/>
      <c r="J125" s="17"/>
      <c r="K125" s="17"/>
    </row>
    <row r="126" spans="5:11" x14ac:dyDescent="0.2">
      <c r="E126" s="10"/>
      <c r="F126" s="53"/>
      <c r="G126" s="35"/>
      <c r="J126" s="17"/>
      <c r="K126" s="17"/>
    </row>
    <row r="127" spans="5:11" x14ac:dyDescent="0.2">
      <c r="E127" s="10"/>
      <c r="F127" s="53"/>
      <c r="G127" s="35"/>
      <c r="J127" s="17"/>
      <c r="K127" s="17"/>
    </row>
    <row r="128" spans="5:11" x14ac:dyDescent="0.2">
      <c r="E128" s="10"/>
      <c r="F128" s="53"/>
      <c r="G128" s="35"/>
      <c r="J128" s="17"/>
      <c r="K128" s="17"/>
    </row>
    <row r="129" spans="5:11" x14ac:dyDescent="0.2">
      <c r="E129" s="10"/>
      <c r="F129" s="53"/>
      <c r="G129" s="35"/>
      <c r="J129" s="17"/>
      <c r="K129" s="17"/>
    </row>
    <row r="130" spans="5:11" x14ac:dyDescent="0.2">
      <c r="E130" s="10"/>
      <c r="F130" s="53"/>
      <c r="G130" s="35"/>
      <c r="J130" s="17"/>
      <c r="K130" s="17"/>
    </row>
    <row r="131" spans="5:11" x14ac:dyDescent="0.2">
      <c r="E131" s="10"/>
      <c r="F131" s="53"/>
      <c r="G131" s="35"/>
      <c r="J131" s="17"/>
      <c r="K131" s="17"/>
    </row>
    <row r="132" spans="5:11" x14ac:dyDescent="0.2">
      <c r="E132" s="10"/>
      <c r="F132" s="53"/>
      <c r="G132" s="35"/>
      <c r="J132" s="17"/>
      <c r="K132" s="17"/>
    </row>
    <row r="133" spans="5:11" x14ac:dyDescent="0.2">
      <c r="E133" s="10"/>
      <c r="F133" s="53"/>
      <c r="G133" s="35"/>
      <c r="J133" s="17"/>
      <c r="K133" s="17"/>
    </row>
    <row r="134" spans="5:11" x14ac:dyDescent="0.2">
      <c r="E134" s="10"/>
      <c r="F134" s="53"/>
      <c r="G134" s="35"/>
      <c r="J134" s="17"/>
      <c r="K134" s="17"/>
    </row>
    <row r="135" spans="5:11" x14ac:dyDescent="0.2">
      <c r="E135" s="10"/>
      <c r="F135" s="53"/>
      <c r="G135" s="35"/>
      <c r="J135" s="17"/>
      <c r="K135" s="17"/>
    </row>
    <row r="136" spans="5:11" x14ac:dyDescent="0.2">
      <c r="E136" s="10"/>
      <c r="F136" s="53"/>
      <c r="G136" s="35"/>
      <c r="J136" s="17"/>
      <c r="K136" s="17"/>
    </row>
    <row r="137" spans="5:11" x14ac:dyDescent="0.2">
      <c r="E137" s="10"/>
      <c r="F137" s="53"/>
      <c r="G137" s="35"/>
      <c r="J137" s="17"/>
      <c r="K137" s="17"/>
    </row>
    <row r="138" spans="5:11" x14ac:dyDescent="0.2">
      <c r="E138" s="10"/>
      <c r="F138" s="53"/>
      <c r="G138" s="35"/>
      <c r="J138" s="17"/>
      <c r="K138" s="17"/>
    </row>
    <row r="139" spans="5:11" x14ac:dyDescent="0.2">
      <c r="E139" s="10"/>
      <c r="F139" s="53"/>
      <c r="G139" s="35"/>
      <c r="J139" s="17"/>
      <c r="K139" s="17"/>
    </row>
    <row r="140" spans="5:11" x14ac:dyDescent="0.2">
      <c r="E140" s="10"/>
      <c r="F140" s="53"/>
      <c r="G140" s="35"/>
      <c r="J140" s="17"/>
      <c r="K140" s="17"/>
    </row>
    <row r="141" spans="5:11" x14ac:dyDescent="0.2">
      <c r="E141" s="10"/>
      <c r="F141" s="53"/>
      <c r="G141" s="35"/>
      <c r="J141" s="17"/>
      <c r="K141" s="17"/>
    </row>
    <row r="142" spans="5:11" x14ac:dyDescent="0.2">
      <c r="E142" s="10"/>
      <c r="F142" s="53"/>
      <c r="G142" s="35"/>
      <c r="J142" s="17"/>
      <c r="K142" s="17"/>
    </row>
    <row r="143" spans="5:11" x14ac:dyDescent="0.2">
      <c r="E143" s="10"/>
      <c r="F143" s="53"/>
      <c r="G143" s="35"/>
      <c r="J143" s="17"/>
      <c r="K143" s="17"/>
    </row>
    <row r="144" spans="5:11" x14ac:dyDescent="0.2">
      <c r="E144" s="10"/>
      <c r="F144" s="53"/>
      <c r="G144" s="35"/>
      <c r="J144" s="17"/>
      <c r="K144" s="17"/>
    </row>
    <row r="145" spans="5:11" x14ac:dyDescent="0.2">
      <c r="E145" s="10"/>
      <c r="F145" s="53"/>
      <c r="G145" s="35"/>
      <c r="J145" s="17"/>
      <c r="K145" s="17"/>
    </row>
    <row r="146" spans="5:11" x14ac:dyDescent="0.2">
      <c r="E146" s="10"/>
      <c r="F146" s="53"/>
      <c r="G146" s="35"/>
      <c r="J146" s="17"/>
      <c r="K146" s="17"/>
    </row>
    <row r="147" spans="5:11" x14ac:dyDescent="0.2">
      <c r="E147" s="10"/>
      <c r="F147" s="53"/>
      <c r="G147" s="35"/>
      <c r="J147" s="17"/>
      <c r="K147" s="17"/>
    </row>
    <row r="148" spans="5:11" x14ac:dyDescent="0.2">
      <c r="E148" s="10"/>
      <c r="F148" s="53"/>
      <c r="G148" s="35"/>
      <c r="J148" s="17"/>
      <c r="K148" s="17"/>
    </row>
    <row r="149" spans="5:11" x14ac:dyDescent="0.2">
      <c r="E149" s="10"/>
      <c r="F149" s="53"/>
      <c r="G149" s="35"/>
      <c r="J149" s="17"/>
      <c r="K149" s="17"/>
    </row>
    <row r="150" spans="5:11" x14ac:dyDescent="0.2">
      <c r="E150" s="10"/>
      <c r="F150" s="53"/>
      <c r="G150" s="35"/>
      <c r="J150" s="17"/>
      <c r="K150" s="17"/>
    </row>
    <row r="151" spans="5:11" x14ac:dyDescent="0.2">
      <c r="E151" s="10"/>
      <c r="F151" s="53"/>
      <c r="G151" s="35"/>
      <c r="J151" s="17"/>
      <c r="K151" s="17"/>
    </row>
    <row r="152" spans="5:11" x14ac:dyDescent="0.2">
      <c r="E152" s="10"/>
      <c r="F152" s="53"/>
      <c r="G152" s="35"/>
      <c r="J152" s="17"/>
      <c r="K152" s="17"/>
    </row>
    <row r="153" spans="5:11" x14ac:dyDescent="0.2">
      <c r="E153" s="45"/>
      <c r="F153" s="53"/>
      <c r="G153" s="35"/>
      <c r="J153" s="17"/>
      <c r="K153" s="17"/>
    </row>
    <row r="154" spans="5:11" x14ac:dyDescent="0.2">
      <c r="E154" s="45"/>
      <c r="F154" s="53"/>
      <c r="G154" s="35"/>
      <c r="J154" s="17"/>
      <c r="K154" s="17"/>
    </row>
    <row r="155" spans="5:11" x14ac:dyDescent="0.2">
      <c r="E155" s="10"/>
      <c r="F155" s="53"/>
      <c r="G155" s="35"/>
      <c r="J155" s="17"/>
      <c r="K155" s="17"/>
    </row>
    <row r="156" spans="5:11" x14ac:dyDescent="0.2">
      <c r="E156" s="10"/>
      <c r="F156" s="53"/>
      <c r="G156" s="35"/>
      <c r="J156" s="17"/>
      <c r="K156" s="17"/>
    </row>
    <row r="157" spans="5:11" x14ac:dyDescent="0.2">
      <c r="E157" s="10"/>
      <c r="F157" s="53"/>
      <c r="G157" s="35"/>
      <c r="J157" s="17"/>
      <c r="K157" s="17"/>
    </row>
    <row r="158" spans="5:11" x14ac:dyDescent="0.2">
      <c r="E158" s="10"/>
      <c r="F158" s="53"/>
      <c r="G158" s="35"/>
      <c r="J158" s="17"/>
      <c r="K158" s="17"/>
    </row>
    <row r="159" spans="5:11" x14ac:dyDescent="0.2">
      <c r="E159" s="10"/>
      <c r="F159" s="53"/>
      <c r="G159" s="35"/>
      <c r="J159" s="17"/>
      <c r="K159" s="17"/>
    </row>
    <row r="160" spans="5:11" x14ac:dyDescent="0.2">
      <c r="E160" s="10"/>
      <c r="F160" s="53"/>
      <c r="G160" s="35"/>
      <c r="J160" s="17"/>
      <c r="K160" s="17"/>
    </row>
    <row r="161" spans="5:11" x14ac:dyDescent="0.2">
      <c r="E161" s="10"/>
      <c r="F161" s="53"/>
      <c r="G161" s="35"/>
      <c r="J161" s="17"/>
      <c r="K161" s="17"/>
    </row>
    <row r="162" spans="5:11" x14ac:dyDescent="0.2">
      <c r="E162" s="10"/>
      <c r="F162" s="53"/>
      <c r="G162" s="35"/>
      <c r="J162" s="17"/>
      <c r="K162" s="17"/>
    </row>
    <row r="163" spans="5:11" x14ac:dyDescent="0.2">
      <c r="E163" s="10"/>
      <c r="F163" s="53"/>
      <c r="G163" s="35"/>
      <c r="J163" s="17"/>
      <c r="K163" s="17"/>
    </row>
    <row r="164" spans="5:11" x14ac:dyDescent="0.2">
      <c r="E164" s="10"/>
      <c r="F164" s="53"/>
      <c r="G164" s="35"/>
      <c r="J164" s="17"/>
      <c r="K164" s="17"/>
    </row>
    <row r="165" spans="5:11" x14ac:dyDescent="0.2">
      <c r="E165" s="10"/>
      <c r="F165" s="53"/>
      <c r="G165" s="9"/>
      <c r="J165" s="17"/>
      <c r="K165" s="17"/>
    </row>
    <row r="166" spans="5:11" x14ac:dyDescent="0.2">
      <c r="E166" s="10"/>
      <c r="F166" s="53"/>
      <c r="G166" s="9"/>
      <c r="J166" s="17"/>
      <c r="K166" s="17"/>
    </row>
    <row r="167" spans="5:11" x14ac:dyDescent="0.2">
      <c r="E167" s="10"/>
      <c r="F167" s="53"/>
      <c r="G167" s="9"/>
      <c r="J167" s="17"/>
      <c r="K167" s="17"/>
    </row>
    <row r="168" spans="5:11" x14ac:dyDescent="0.2">
      <c r="E168" s="10"/>
      <c r="F168" s="53"/>
      <c r="G168" s="9"/>
      <c r="J168" s="17"/>
      <c r="K168" s="17"/>
    </row>
    <row r="169" spans="5:11" x14ac:dyDescent="0.2">
      <c r="E169" s="10"/>
      <c r="F169" s="53"/>
      <c r="G169" s="9"/>
      <c r="J169" s="17"/>
      <c r="K169" s="17"/>
    </row>
    <row r="170" spans="5:11" x14ac:dyDescent="0.2">
      <c r="E170" s="10"/>
      <c r="F170" s="53"/>
      <c r="G170" s="9"/>
      <c r="J170" s="17"/>
      <c r="K170" s="17"/>
    </row>
    <row r="171" spans="5:11" x14ac:dyDescent="0.2">
      <c r="E171" s="10"/>
      <c r="F171" s="53"/>
      <c r="G171" s="9"/>
      <c r="J171" s="17"/>
      <c r="K171" s="17"/>
    </row>
    <row r="172" spans="5:11" x14ac:dyDescent="0.2">
      <c r="E172" s="10"/>
      <c r="F172" s="53"/>
      <c r="G172" s="9"/>
      <c r="J172" s="17"/>
      <c r="K172" s="17"/>
    </row>
    <row r="173" spans="5:11" x14ac:dyDescent="0.2">
      <c r="E173" s="10"/>
      <c r="F173" s="53"/>
      <c r="G173" s="9"/>
      <c r="J173" s="17"/>
      <c r="K173" s="17"/>
    </row>
    <row r="174" spans="5:11" x14ac:dyDescent="0.2">
      <c r="E174" s="10"/>
      <c r="F174" s="53"/>
      <c r="G174" s="9"/>
      <c r="J174" s="17"/>
      <c r="K174" s="17"/>
    </row>
    <row r="175" spans="5:11" x14ac:dyDescent="0.2">
      <c r="E175" s="10"/>
      <c r="F175" s="53"/>
      <c r="G175" s="9"/>
      <c r="J175" s="17"/>
      <c r="K175" s="17"/>
    </row>
    <row r="176" spans="5:11" x14ac:dyDescent="0.2">
      <c r="E176" s="10"/>
      <c r="F176" s="53"/>
      <c r="G176" s="9"/>
      <c r="J176" s="17"/>
      <c r="K176" s="17"/>
    </row>
    <row r="177" spans="5:11" x14ac:dyDescent="0.2">
      <c r="E177" s="10"/>
      <c r="F177" s="53"/>
      <c r="G177" s="9"/>
      <c r="J177" s="17"/>
      <c r="K177" s="17"/>
    </row>
    <row r="178" spans="5:11" x14ac:dyDescent="0.2">
      <c r="E178" s="10"/>
      <c r="F178" s="53"/>
      <c r="G178" s="9"/>
      <c r="J178" s="17"/>
      <c r="K178" s="17"/>
    </row>
    <row r="179" spans="5:11" x14ac:dyDescent="0.2">
      <c r="E179" s="10"/>
      <c r="F179" s="53"/>
      <c r="G179" s="9"/>
      <c r="J179" s="17"/>
      <c r="K179" s="17"/>
    </row>
    <row r="180" spans="5:11" x14ac:dyDescent="0.2">
      <c r="E180" s="10"/>
      <c r="F180" s="53"/>
      <c r="G180" s="9"/>
      <c r="J180" s="17"/>
      <c r="K180" s="17"/>
    </row>
    <row r="181" spans="5:11" x14ac:dyDescent="0.2">
      <c r="E181" s="10"/>
      <c r="F181" s="53"/>
      <c r="G181" s="9"/>
      <c r="J181" s="17"/>
      <c r="K181" s="17"/>
    </row>
    <row r="182" spans="5:11" x14ac:dyDescent="0.2">
      <c r="E182" s="10"/>
      <c r="F182" s="53"/>
      <c r="G182" s="9"/>
      <c r="J182" s="17"/>
      <c r="K182" s="17"/>
    </row>
    <row r="183" spans="5:11" x14ac:dyDescent="0.2">
      <c r="E183" s="10"/>
      <c r="F183" s="53"/>
      <c r="G183" s="9"/>
      <c r="J183" s="17"/>
      <c r="K183" s="17"/>
    </row>
    <row r="184" spans="5:11" x14ac:dyDescent="0.2">
      <c r="E184" s="10"/>
      <c r="F184" s="53"/>
      <c r="G184" s="9"/>
      <c r="J184" s="17"/>
      <c r="K184" s="17"/>
    </row>
    <row r="185" spans="5:11" x14ac:dyDescent="0.2">
      <c r="E185" s="10"/>
      <c r="F185" s="53"/>
      <c r="G185" s="9"/>
      <c r="J185" s="17"/>
      <c r="K185" s="17"/>
    </row>
    <row r="186" spans="5:11" x14ac:dyDescent="0.2">
      <c r="E186" s="10"/>
      <c r="F186" s="53"/>
      <c r="G186" s="9"/>
      <c r="J186" s="17"/>
      <c r="K186" s="17"/>
    </row>
    <row r="187" spans="5:11" x14ac:dyDescent="0.2">
      <c r="E187" s="10"/>
      <c r="F187" s="53"/>
      <c r="G187" s="9"/>
      <c r="J187" s="17"/>
      <c r="K187" s="17"/>
    </row>
    <row r="188" spans="5:11" x14ac:dyDescent="0.2">
      <c r="E188" s="10"/>
      <c r="F188" s="53"/>
      <c r="G188" s="9"/>
      <c r="J188" s="17"/>
      <c r="K188" s="17"/>
    </row>
    <row r="189" spans="5:11" x14ac:dyDescent="0.2">
      <c r="E189" s="10"/>
      <c r="F189" s="53"/>
      <c r="G189" s="9"/>
      <c r="J189" s="17"/>
      <c r="K189" s="17"/>
    </row>
    <row r="190" spans="5:11" x14ac:dyDescent="0.2">
      <c r="E190" s="10"/>
      <c r="F190" s="53"/>
      <c r="G190" s="9"/>
      <c r="J190" s="17"/>
      <c r="K190" s="17"/>
    </row>
    <row r="191" spans="5:11" x14ac:dyDescent="0.2">
      <c r="E191" s="10"/>
      <c r="F191" s="53"/>
      <c r="G191" s="9"/>
      <c r="J191" s="17"/>
      <c r="K191" s="17"/>
    </row>
    <row r="192" spans="5:11" x14ac:dyDescent="0.2">
      <c r="E192" s="10"/>
      <c r="F192" s="53"/>
      <c r="G192" s="9"/>
      <c r="J192" s="17"/>
      <c r="K192" s="17"/>
    </row>
    <row r="193" spans="5:11" x14ac:dyDescent="0.2">
      <c r="E193" s="10"/>
      <c r="F193" s="53"/>
      <c r="G193" s="9"/>
      <c r="J193" s="17"/>
      <c r="K193" s="17"/>
    </row>
    <row r="194" spans="5:11" x14ac:dyDescent="0.2">
      <c r="E194" s="10"/>
      <c r="F194" s="53"/>
      <c r="G194" s="9"/>
      <c r="J194" s="17"/>
      <c r="K194" s="17"/>
    </row>
    <row r="195" spans="5:11" x14ac:dyDescent="0.2">
      <c r="E195" s="10"/>
      <c r="F195" s="53"/>
      <c r="G195" s="9"/>
      <c r="J195" s="17"/>
      <c r="K195" s="17"/>
    </row>
    <row r="196" spans="5:11" x14ac:dyDescent="0.2">
      <c r="E196" s="10"/>
      <c r="F196" s="53"/>
      <c r="G196" s="9"/>
      <c r="J196" s="17"/>
      <c r="K196" s="17"/>
    </row>
    <row r="197" spans="5:11" x14ac:dyDescent="0.2">
      <c r="E197" s="10"/>
      <c r="F197" s="53"/>
      <c r="G197" s="9"/>
      <c r="J197" s="17"/>
      <c r="K197" s="17"/>
    </row>
    <row r="198" spans="5:11" x14ac:dyDescent="0.2">
      <c r="E198" s="10"/>
      <c r="F198" s="53"/>
      <c r="G198" s="9"/>
      <c r="J198" s="17"/>
      <c r="K198" s="17"/>
    </row>
    <row r="199" spans="5:11" x14ac:dyDescent="0.2">
      <c r="E199" s="10"/>
      <c r="F199" s="53"/>
      <c r="G199" s="9"/>
      <c r="J199" s="17"/>
      <c r="K199" s="17"/>
    </row>
    <row r="200" spans="5:11" x14ac:dyDescent="0.2">
      <c r="E200" s="10"/>
      <c r="F200" s="53"/>
      <c r="G200" s="9"/>
      <c r="J200" s="17"/>
      <c r="K200" s="17"/>
    </row>
    <row r="201" spans="5:11" x14ac:dyDescent="0.2">
      <c r="E201" s="10"/>
      <c r="F201" s="53"/>
      <c r="G201" s="9"/>
      <c r="J201" s="17"/>
      <c r="K201" s="17"/>
    </row>
    <row r="202" spans="5:11" x14ac:dyDescent="0.2">
      <c r="E202" s="10"/>
      <c r="F202" s="53"/>
      <c r="G202" s="9"/>
      <c r="J202" s="17"/>
      <c r="K202" s="17"/>
    </row>
    <row r="203" spans="5:11" x14ac:dyDescent="0.2">
      <c r="E203" s="10"/>
      <c r="F203" s="53"/>
      <c r="G203" s="9"/>
      <c r="J203" s="17"/>
      <c r="K203" s="17"/>
    </row>
    <row r="204" spans="5:11" x14ac:dyDescent="0.2">
      <c r="E204" s="10"/>
      <c r="F204" s="53"/>
      <c r="G204" s="9"/>
      <c r="J204" s="17"/>
      <c r="K204" s="17"/>
    </row>
    <row r="205" spans="5:11" x14ac:dyDescent="0.2">
      <c r="E205" s="10"/>
      <c r="F205" s="53"/>
      <c r="G205" s="9"/>
      <c r="J205" s="17"/>
      <c r="K205" s="17"/>
    </row>
    <row r="206" spans="5:11" x14ac:dyDescent="0.2">
      <c r="E206" s="10"/>
      <c r="F206" s="53"/>
      <c r="G206" s="9"/>
      <c r="J206" s="17"/>
      <c r="K206" s="17"/>
    </row>
    <row r="207" spans="5:11" x14ac:dyDescent="0.2">
      <c r="E207" s="10"/>
      <c r="F207" s="53"/>
      <c r="G207" s="9"/>
      <c r="J207" s="17"/>
      <c r="K207" s="17"/>
    </row>
    <row r="208" spans="5:11" x14ac:dyDescent="0.2">
      <c r="E208" s="10"/>
      <c r="F208" s="53"/>
      <c r="G208" s="9"/>
      <c r="J208" s="17"/>
      <c r="K208" s="17"/>
    </row>
    <row r="209" spans="5:11" x14ac:dyDescent="0.2">
      <c r="E209" s="10"/>
      <c r="F209" s="53"/>
      <c r="G209" s="9"/>
      <c r="J209" s="17"/>
      <c r="K209" s="17"/>
    </row>
    <row r="210" spans="5:11" x14ac:dyDescent="0.2">
      <c r="E210" s="10"/>
      <c r="F210" s="53"/>
      <c r="G210" s="9"/>
      <c r="J210" s="17"/>
      <c r="K210" s="17"/>
    </row>
    <row r="211" spans="5:11" x14ac:dyDescent="0.2">
      <c r="E211" s="10"/>
      <c r="F211" s="53"/>
      <c r="G211" s="9"/>
      <c r="J211" s="17"/>
      <c r="K211" s="17"/>
    </row>
    <row r="212" spans="5:11" x14ac:dyDescent="0.2">
      <c r="E212" s="10"/>
      <c r="F212" s="53"/>
      <c r="G212" s="9"/>
      <c r="J212" s="17"/>
      <c r="K212" s="17"/>
    </row>
    <row r="213" spans="5:11" x14ac:dyDescent="0.2">
      <c r="E213" s="10"/>
      <c r="F213" s="53"/>
      <c r="G213" s="9"/>
      <c r="J213" s="17"/>
      <c r="K213" s="17"/>
    </row>
    <row r="214" spans="5:11" x14ac:dyDescent="0.2">
      <c r="E214" s="10"/>
      <c r="F214" s="53"/>
      <c r="G214" s="9"/>
      <c r="J214" s="17"/>
      <c r="K214" s="17"/>
    </row>
    <row r="215" spans="5:11" x14ac:dyDescent="0.2">
      <c r="E215" s="10"/>
      <c r="F215" s="53"/>
      <c r="G215" s="9"/>
      <c r="J215" s="17"/>
      <c r="K215" s="17"/>
    </row>
    <row r="216" spans="5:11" x14ac:dyDescent="0.2">
      <c r="E216" s="10"/>
      <c r="F216" s="53"/>
      <c r="G216" s="9"/>
      <c r="J216" s="17"/>
      <c r="K216" s="17"/>
    </row>
    <row r="217" spans="5:11" x14ac:dyDescent="0.2">
      <c r="E217" s="10"/>
      <c r="F217" s="53"/>
      <c r="G217" s="9"/>
      <c r="J217" s="17"/>
      <c r="K217" s="17"/>
    </row>
    <row r="218" spans="5:11" x14ac:dyDescent="0.2">
      <c r="E218" s="10"/>
      <c r="F218" s="53"/>
      <c r="G218" s="9"/>
      <c r="J218" s="17"/>
      <c r="K218" s="17"/>
    </row>
    <row r="219" spans="5:11" x14ac:dyDescent="0.2">
      <c r="E219" s="10"/>
      <c r="F219" s="53"/>
      <c r="G219" s="9"/>
      <c r="J219" s="17"/>
      <c r="K219" s="17"/>
    </row>
    <row r="220" spans="5:11" x14ac:dyDescent="0.2">
      <c r="E220" s="10"/>
      <c r="F220" s="53"/>
      <c r="G220" s="9"/>
      <c r="J220" s="17"/>
      <c r="K220" s="17"/>
    </row>
    <row r="221" spans="5:11" x14ac:dyDescent="0.2">
      <c r="E221" s="10"/>
      <c r="F221" s="53"/>
      <c r="G221" s="9"/>
      <c r="J221" s="17"/>
      <c r="K221" s="17"/>
    </row>
    <row r="222" spans="5:11" x14ac:dyDescent="0.2">
      <c r="E222" s="10"/>
      <c r="F222" s="53"/>
      <c r="G222" s="9"/>
      <c r="J222" s="17"/>
      <c r="K222" s="17"/>
    </row>
    <row r="223" spans="5:11" x14ac:dyDescent="0.2">
      <c r="E223" s="10"/>
      <c r="F223" s="53"/>
      <c r="G223" s="9"/>
      <c r="J223" s="17"/>
      <c r="K223" s="17"/>
    </row>
    <row r="224" spans="5:11" x14ac:dyDescent="0.2">
      <c r="E224" s="10"/>
      <c r="F224" s="53"/>
      <c r="G224" s="9"/>
      <c r="J224" s="17"/>
      <c r="K224" s="17"/>
    </row>
    <row r="225" spans="5:11" x14ac:dyDescent="0.2">
      <c r="E225" s="10"/>
      <c r="F225" s="53"/>
      <c r="G225" s="9"/>
      <c r="J225" s="17"/>
      <c r="K225" s="17"/>
    </row>
    <row r="226" spans="5:11" x14ac:dyDescent="0.2">
      <c r="E226" s="10"/>
      <c r="F226" s="53"/>
      <c r="G226" s="9"/>
      <c r="J226" s="17"/>
      <c r="K226" s="17"/>
    </row>
    <row r="227" spans="5:11" x14ac:dyDescent="0.2">
      <c r="E227" s="10"/>
      <c r="F227" s="53"/>
      <c r="G227" s="9"/>
      <c r="J227" s="17"/>
      <c r="K227" s="17"/>
    </row>
    <row r="228" spans="5:11" x14ac:dyDescent="0.2">
      <c r="E228" s="10"/>
      <c r="F228" s="53"/>
      <c r="G228" s="9"/>
      <c r="J228" s="17"/>
      <c r="K228" s="17"/>
    </row>
    <row r="229" spans="5:11" x14ac:dyDescent="0.2">
      <c r="E229" s="10"/>
      <c r="F229" s="53"/>
      <c r="G229" s="9"/>
      <c r="J229" s="17"/>
      <c r="K229" s="17"/>
    </row>
    <row r="230" spans="5:11" x14ac:dyDescent="0.2">
      <c r="E230" s="10"/>
      <c r="F230" s="53"/>
      <c r="G230" s="9"/>
      <c r="J230" s="17"/>
      <c r="K230" s="17"/>
    </row>
    <row r="231" spans="5:11" x14ac:dyDescent="0.2">
      <c r="E231" s="10"/>
      <c r="F231" s="53"/>
      <c r="G231" s="9"/>
      <c r="J231" s="17"/>
      <c r="K231" s="17"/>
    </row>
    <row r="232" spans="5:11" x14ac:dyDescent="0.2">
      <c r="E232" s="10"/>
      <c r="F232" s="53"/>
      <c r="G232" s="9"/>
      <c r="J232" s="17"/>
      <c r="K232" s="17"/>
    </row>
    <row r="233" spans="5:11" x14ac:dyDescent="0.2">
      <c r="E233" s="10"/>
      <c r="F233" s="53"/>
      <c r="G233" s="9"/>
      <c r="J233" s="17"/>
      <c r="K233" s="17"/>
    </row>
    <row r="234" spans="5:11" x14ac:dyDescent="0.2">
      <c r="E234" s="10"/>
      <c r="F234" s="53"/>
      <c r="G234" s="9"/>
      <c r="J234" s="17"/>
      <c r="K234" s="17"/>
    </row>
    <row r="235" spans="5:11" x14ac:dyDescent="0.2">
      <c r="E235" s="10"/>
      <c r="F235" s="53"/>
      <c r="G235" s="9"/>
      <c r="J235" s="17"/>
      <c r="K235" s="17"/>
    </row>
    <row r="236" spans="5:11" x14ac:dyDescent="0.2">
      <c r="E236" s="10"/>
      <c r="F236" s="53"/>
      <c r="G236" s="9"/>
      <c r="J236" s="17"/>
      <c r="K236" s="17"/>
    </row>
    <row r="237" spans="5:11" x14ac:dyDescent="0.2">
      <c r="E237" s="10"/>
      <c r="F237" s="53"/>
      <c r="G237" s="9"/>
      <c r="J237" s="17"/>
      <c r="K237" s="17"/>
    </row>
    <row r="238" spans="5:11" x14ac:dyDescent="0.2">
      <c r="E238" s="10"/>
      <c r="F238" s="53"/>
      <c r="G238" s="9"/>
      <c r="J238" s="17"/>
      <c r="K238" s="17"/>
    </row>
    <row r="239" spans="5:11" x14ac:dyDescent="0.2">
      <c r="E239" s="10"/>
      <c r="F239" s="53"/>
      <c r="G239" s="9"/>
      <c r="J239" s="17"/>
      <c r="K239" s="17"/>
    </row>
    <row r="240" spans="5:11" x14ac:dyDescent="0.2">
      <c r="E240" s="10"/>
      <c r="F240" s="53"/>
      <c r="G240" s="9"/>
      <c r="J240" s="17"/>
      <c r="K240" s="17"/>
    </row>
    <row r="241" spans="5:11" x14ac:dyDescent="0.2">
      <c r="E241" s="10"/>
      <c r="F241" s="53"/>
      <c r="G241" s="9"/>
      <c r="J241" s="17"/>
      <c r="K241" s="17"/>
    </row>
    <row r="242" spans="5:11" x14ac:dyDescent="0.2">
      <c r="E242" s="10"/>
      <c r="F242" s="53"/>
      <c r="G242" s="9"/>
      <c r="J242" s="17"/>
      <c r="K242" s="17"/>
    </row>
    <row r="243" spans="5:11" x14ac:dyDescent="0.2">
      <c r="E243" s="10"/>
      <c r="F243" s="53"/>
      <c r="G243" s="9"/>
      <c r="J243" s="17"/>
      <c r="K243" s="17"/>
    </row>
    <row r="244" spans="5:11" x14ac:dyDescent="0.2">
      <c r="E244" s="10"/>
      <c r="F244" s="53"/>
      <c r="G244" s="9"/>
      <c r="J244" s="17"/>
      <c r="K244" s="17"/>
    </row>
    <row r="245" spans="5:11" x14ac:dyDescent="0.2">
      <c r="E245" s="10"/>
      <c r="F245" s="53"/>
      <c r="G245" s="9"/>
      <c r="J245" s="17"/>
      <c r="K245" s="17"/>
    </row>
    <row r="246" spans="5:11" x14ac:dyDescent="0.2">
      <c r="E246" s="10"/>
      <c r="F246" s="53"/>
      <c r="G246" s="9"/>
      <c r="J246" s="17"/>
      <c r="K246" s="17"/>
    </row>
    <row r="247" spans="5:11" x14ac:dyDescent="0.2">
      <c r="E247" s="10"/>
      <c r="F247" s="53"/>
      <c r="G247" s="9"/>
      <c r="J247" s="17"/>
      <c r="K247" s="17"/>
    </row>
    <row r="248" spans="5:11" x14ac:dyDescent="0.2">
      <c r="E248" s="10"/>
      <c r="F248" s="53"/>
      <c r="G248" s="9"/>
      <c r="J248" s="17"/>
      <c r="K248" s="17"/>
    </row>
    <row r="249" spans="5:11" x14ac:dyDescent="0.2">
      <c r="E249" s="10"/>
      <c r="F249" s="53"/>
      <c r="G249" s="9"/>
      <c r="J249" s="17"/>
      <c r="K249" s="17"/>
    </row>
    <row r="250" spans="5:11" x14ac:dyDescent="0.2">
      <c r="E250" s="10"/>
      <c r="F250" s="53"/>
      <c r="G250" s="9"/>
      <c r="J250" s="17"/>
      <c r="K250" s="17"/>
    </row>
    <row r="251" spans="5:11" x14ac:dyDescent="0.2">
      <c r="E251" s="10"/>
      <c r="F251" s="53"/>
      <c r="G251" s="9"/>
      <c r="J251" s="17"/>
      <c r="K251" s="17"/>
    </row>
    <row r="252" spans="5:11" x14ac:dyDescent="0.2">
      <c r="E252" s="10"/>
      <c r="F252" s="53"/>
      <c r="G252" s="9"/>
      <c r="J252" s="17"/>
      <c r="K252" s="17"/>
    </row>
    <row r="253" spans="5:11" x14ac:dyDescent="0.2">
      <c r="E253" s="10"/>
      <c r="F253" s="53"/>
      <c r="G253" s="9"/>
      <c r="J253" s="17"/>
      <c r="K253" s="17"/>
    </row>
    <row r="254" spans="5:11" x14ac:dyDescent="0.2">
      <c r="E254" s="10"/>
      <c r="F254" s="53"/>
      <c r="G254" s="9"/>
      <c r="J254" s="17"/>
      <c r="K254" s="17"/>
    </row>
    <row r="255" spans="5:11" x14ac:dyDescent="0.2">
      <c r="E255" s="10"/>
      <c r="F255" s="53"/>
      <c r="G255" s="9"/>
      <c r="J255" s="17"/>
      <c r="K255" s="17"/>
    </row>
    <row r="256" spans="5:11" x14ac:dyDescent="0.2">
      <c r="E256" s="10"/>
      <c r="F256" s="53"/>
      <c r="G256" s="9"/>
      <c r="J256" s="17"/>
      <c r="K256" s="17"/>
    </row>
    <row r="257" spans="5:11" x14ac:dyDescent="0.2">
      <c r="E257" s="10"/>
      <c r="F257" s="53"/>
      <c r="G257" s="9"/>
      <c r="J257" s="17"/>
      <c r="K257" s="17"/>
    </row>
    <row r="258" spans="5:11" x14ac:dyDescent="0.2">
      <c r="E258" s="10"/>
      <c r="F258" s="53"/>
      <c r="G258" s="9"/>
      <c r="J258" s="17"/>
      <c r="K258" s="17"/>
    </row>
    <row r="259" spans="5:11" x14ac:dyDescent="0.2">
      <c r="E259" s="10"/>
      <c r="F259" s="53"/>
      <c r="G259" s="9"/>
      <c r="J259" s="17"/>
      <c r="K259" s="17"/>
    </row>
    <row r="260" spans="5:11" x14ac:dyDescent="0.2">
      <c r="E260" s="10"/>
      <c r="F260" s="53"/>
      <c r="G260" s="9"/>
      <c r="J260" s="17"/>
      <c r="K260" s="17"/>
    </row>
    <row r="261" spans="5:11" x14ac:dyDescent="0.2">
      <c r="E261" s="10"/>
      <c r="F261" s="53"/>
      <c r="G261" s="9"/>
      <c r="J261" s="17"/>
      <c r="K261" s="17"/>
    </row>
    <row r="262" spans="5:11" x14ac:dyDescent="0.2">
      <c r="E262" s="10"/>
      <c r="F262" s="53"/>
      <c r="G262" s="9"/>
      <c r="J262" s="17"/>
      <c r="K262" s="17"/>
    </row>
    <row r="263" spans="5:11" x14ac:dyDescent="0.2">
      <c r="E263" s="10"/>
      <c r="F263" s="53"/>
      <c r="G263" s="9"/>
      <c r="J263" s="17"/>
      <c r="K263" s="17"/>
    </row>
    <row r="264" spans="5:11" x14ac:dyDescent="0.2">
      <c r="E264" s="10"/>
      <c r="F264" s="53"/>
      <c r="G264" s="9"/>
      <c r="J264" s="17"/>
      <c r="K264" s="17"/>
    </row>
    <row r="265" spans="5:11" x14ac:dyDescent="0.2">
      <c r="E265" s="10"/>
      <c r="F265" s="53"/>
      <c r="G265" s="9"/>
      <c r="J265" s="17"/>
      <c r="K265" s="17"/>
    </row>
    <row r="266" spans="5:11" x14ac:dyDescent="0.2">
      <c r="E266" s="10"/>
      <c r="F266" s="53"/>
      <c r="G266" s="9"/>
      <c r="J266" s="17"/>
      <c r="K266" s="17"/>
    </row>
    <row r="267" spans="5:11" x14ac:dyDescent="0.2">
      <c r="E267" s="10"/>
      <c r="F267" s="53"/>
      <c r="G267" s="9"/>
      <c r="J267" s="17"/>
      <c r="K267" s="17"/>
    </row>
    <row r="268" spans="5:11" x14ac:dyDescent="0.2">
      <c r="E268" s="10"/>
      <c r="F268" s="53"/>
      <c r="G268" s="9"/>
      <c r="J268" s="17"/>
      <c r="K268" s="17"/>
    </row>
    <row r="269" spans="5:11" x14ac:dyDescent="0.2">
      <c r="E269" s="10"/>
      <c r="F269" s="53"/>
      <c r="G269" s="9"/>
      <c r="J269" s="17"/>
      <c r="K269" s="17"/>
    </row>
    <row r="270" spans="5:11" x14ac:dyDescent="0.2">
      <c r="E270" s="10"/>
      <c r="F270" s="53"/>
      <c r="G270" s="9"/>
      <c r="J270" s="17"/>
      <c r="K270" s="17"/>
    </row>
    <row r="271" spans="5:11" x14ac:dyDescent="0.2">
      <c r="E271" s="10"/>
      <c r="F271" s="53"/>
      <c r="G271" s="9"/>
      <c r="J271" s="17"/>
      <c r="K271" s="17"/>
    </row>
    <row r="272" spans="5:11" x14ac:dyDescent="0.2">
      <c r="E272" s="10"/>
      <c r="F272" s="53"/>
      <c r="G272" s="9"/>
      <c r="J272" s="17"/>
      <c r="K272" s="17"/>
    </row>
    <row r="273" spans="5:11" x14ac:dyDescent="0.2">
      <c r="E273" s="10"/>
      <c r="F273" s="53"/>
      <c r="G273" s="9"/>
      <c r="J273" s="17"/>
      <c r="K273" s="17"/>
    </row>
    <row r="274" spans="5:11" x14ac:dyDescent="0.2">
      <c r="E274" s="10"/>
      <c r="F274" s="53"/>
      <c r="G274" s="9"/>
      <c r="J274" s="17"/>
      <c r="K274" s="17"/>
    </row>
    <row r="275" spans="5:11" x14ac:dyDescent="0.2">
      <c r="E275" s="10"/>
      <c r="F275" s="53"/>
      <c r="G275" s="9"/>
      <c r="J275" s="17"/>
      <c r="K275" s="17"/>
    </row>
    <row r="276" spans="5:11" x14ac:dyDescent="0.2">
      <c r="E276" s="10"/>
      <c r="F276" s="53"/>
      <c r="G276" s="9"/>
      <c r="J276" s="17"/>
      <c r="K276" s="17"/>
    </row>
    <row r="277" spans="5:11" x14ac:dyDescent="0.2">
      <c r="E277" s="10"/>
      <c r="F277" s="53"/>
      <c r="G277" s="9"/>
      <c r="J277" s="17"/>
      <c r="K277" s="17"/>
    </row>
    <row r="278" spans="5:11" x14ac:dyDescent="0.2">
      <c r="E278" s="10"/>
      <c r="F278" s="53"/>
      <c r="G278" s="9"/>
      <c r="J278" s="17"/>
      <c r="K278" s="17"/>
    </row>
    <row r="279" spans="5:11" x14ac:dyDescent="0.2">
      <c r="E279" s="10"/>
      <c r="F279" s="53"/>
      <c r="G279" s="9"/>
      <c r="J279" s="17"/>
      <c r="K279" s="17"/>
    </row>
    <row r="280" spans="5:11" x14ac:dyDescent="0.2">
      <c r="E280" s="10"/>
      <c r="F280" s="53"/>
      <c r="G280" s="9"/>
      <c r="J280" s="17"/>
      <c r="K280" s="17"/>
    </row>
    <row r="281" spans="5:11" x14ac:dyDescent="0.2">
      <c r="E281" s="10"/>
      <c r="F281" s="53"/>
      <c r="G281" s="9"/>
      <c r="J281" s="17"/>
      <c r="K281" s="17"/>
    </row>
    <row r="282" spans="5:11" x14ac:dyDescent="0.2">
      <c r="E282" s="10"/>
      <c r="F282" s="53"/>
      <c r="G282" s="9"/>
      <c r="J282" s="17"/>
      <c r="K282" s="17"/>
    </row>
    <row r="283" spans="5:11" x14ac:dyDescent="0.2">
      <c r="E283" s="10"/>
      <c r="F283" s="53"/>
      <c r="G283" s="9"/>
      <c r="J283" s="17"/>
      <c r="K283" s="17"/>
    </row>
    <row r="284" spans="5:11" x14ac:dyDescent="0.2">
      <c r="E284" s="10"/>
      <c r="F284" s="53"/>
      <c r="G284" s="9"/>
      <c r="J284" s="17"/>
      <c r="K284" s="17"/>
    </row>
    <row r="285" spans="5:11" x14ac:dyDescent="0.2">
      <c r="E285" s="10"/>
      <c r="F285" s="53"/>
      <c r="G285" s="9"/>
      <c r="J285" s="17"/>
      <c r="K285" s="17"/>
    </row>
    <row r="286" spans="5:11" x14ac:dyDescent="0.2">
      <c r="E286" s="10"/>
      <c r="F286" s="53"/>
      <c r="G286" s="9"/>
      <c r="J286" s="17"/>
      <c r="K286" s="17"/>
    </row>
    <row r="287" spans="5:11" x14ac:dyDescent="0.2">
      <c r="E287" s="10"/>
      <c r="F287" s="53"/>
      <c r="G287" s="9"/>
      <c r="J287" s="17"/>
      <c r="K287" s="17"/>
    </row>
    <row r="288" spans="5:11" x14ac:dyDescent="0.2">
      <c r="E288" s="10"/>
      <c r="F288" s="53"/>
      <c r="G288" s="9"/>
      <c r="J288" s="17"/>
      <c r="K288" s="17"/>
    </row>
    <row r="289" spans="5:11" x14ac:dyDescent="0.2">
      <c r="E289" s="10"/>
      <c r="F289" s="53"/>
      <c r="G289" s="9"/>
      <c r="J289" s="17"/>
      <c r="K289" s="17"/>
    </row>
    <row r="290" spans="5:11" x14ac:dyDescent="0.2">
      <c r="E290" s="10"/>
      <c r="F290" s="53"/>
      <c r="G290" s="9"/>
      <c r="J290" s="17"/>
      <c r="K290" s="17"/>
    </row>
    <row r="291" spans="5:11" x14ac:dyDescent="0.2">
      <c r="E291" s="10"/>
      <c r="F291" s="53"/>
      <c r="G291" s="9"/>
      <c r="J291" s="17"/>
      <c r="K291" s="17"/>
    </row>
    <row r="292" spans="5:11" x14ac:dyDescent="0.2">
      <c r="E292" s="10"/>
      <c r="F292" s="53"/>
      <c r="G292" s="9"/>
      <c r="J292" s="17"/>
      <c r="K292" s="17"/>
    </row>
    <row r="293" spans="5:11" x14ac:dyDescent="0.2">
      <c r="E293" s="10"/>
      <c r="F293" s="53"/>
      <c r="G293" s="9"/>
      <c r="J293" s="17"/>
      <c r="K293" s="17"/>
    </row>
    <row r="294" spans="5:11" x14ac:dyDescent="0.2">
      <c r="E294" s="10"/>
      <c r="F294" s="53"/>
      <c r="G294" s="9"/>
      <c r="J294" s="17"/>
      <c r="K294" s="17"/>
    </row>
    <row r="295" spans="5:11" x14ac:dyDescent="0.2">
      <c r="E295" s="10"/>
      <c r="F295" s="53"/>
      <c r="G295" s="9"/>
      <c r="J295" s="17"/>
      <c r="K295" s="17"/>
    </row>
    <row r="296" spans="5:11" x14ac:dyDescent="0.2">
      <c r="E296" s="10"/>
      <c r="F296" s="53"/>
      <c r="G296" s="9"/>
      <c r="J296" s="17"/>
      <c r="K296" s="17"/>
    </row>
    <row r="297" spans="5:11" x14ac:dyDescent="0.2">
      <c r="E297" s="10"/>
      <c r="F297" s="53"/>
      <c r="G297" s="9"/>
      <c r="J297" s="17"/>
      <c r="K297" s="17"/>
    </row>
    <row r="298" spans="5:11" x14ac:dyDescent="0.2">
      <c r="E298" s="10"/>
      <c r="F298" s="53"/>
      <c r="G298" s="9"/>
      <c r="J298" s="17"/>
      <c r="K298" s="17"/>
    </row>
    <row r="299" spans="5:11" x14ac:dyDescent="0.2">
      <c r="E299" s="10"/>
      <c r="F299" s="53"/>
      <c r="G299" s="9"/>
      <c r="J299" s="17"/>
      <c r="K299" s="17"/>
    </row>
    <row r="300" spans="5:11" x14ac:dyDescent="0.2">
      <c r="E300" s="10"/>
      <c r="F300" s="53"/>
      <c r="G300" s="9"/>
      <c r="J300" s="17"/>
      <c r="K300" s="17"/>
    </row>
    <row r="301" spans="5:11" x14ac:dyDescent="0.2">
      <c r="E301" s="10"/>
      <c r="F301" s="53"/>
      <c r="G301" s="9"/>
      <c r="J301" s="17"/>
      <c r="K301" s="17"/>
    </row>
    <row r="302" spans="5:11" x14ac:dyDescent="0.2">
      <c r="E302" s="10"/>
      <c r="F302" s="53"/>
      <c r="G302" s="9"/>
      <c r="J302" s="17"/>
      <c r="K302" s="17"/>
    </row>
    <row r="303" spans="5:11" x14ac:dyDescent="0.2">
      <c r="E303" s="10"/>
      <c r="F303" s="53"/>
      <c r="G303" s="9"/>
      <c r="J303" s="17"/>
      <c r="K303" s="17"/>
    </row>
    <row r="304" spans="5:11" x14ac:dyDescent="0.2">
      <c r="E304" s="10"/>
      <c r="F304" s="53"/>
      <c r="G304" s="9"/>
      <c r="J304" s="17"/>
      <c r="K304" s="17"/>
    </row>
    <row r="305" spans="5:11" x14ac:dyDescent="0.2">
      <c r="E305" s="10"/>
      <c r="F305" s="53"/>
      <c r="G305" s="9"/>
      <c r="J305" s="17"/>
      <c r="K305" s="17"/>
    </row>
    <row r="306" spans="5:11" x14ac:dyDescent="0.2">
      <c r="E306" s="10"/>
      <c r="F306" s="53"/>
      <c r="G306" s="9"/>
      <c r="J306" s="17"/>
      <c r="K306" s="17"/>
    </row>
    <row r="307" spans="5:11" x14ac:dyDescent="0.2">
      <c r="E307" s="10"/>
      <c r="F307" s="53"/>
      <c r="G307" s="9"/>
      <c r="J307" s="17"/>
      <c r="K307" s="17"/>
    </row>
    <row r="308" spans="5:11" x14ac:dyDescent="0.2">
      <c r="E308" s="10"/>
      <c r="F308" s="53"/>
      <c r="G308" s="9"/>
      <c r="J308" s="17"/>
      <c r="K308" s="17"/>
    </row>
    <row r="309" spans="5:11" x14ac:dyDescent="0.2">
      <c r="E309" s="10"/>
      <c r="F309" s="53"/>
      <c r="G309" s="9"/>
      <c r="J309" s="17"/>
      <c r="K309" s="17"/>
    </row>
    <row r="310" spans="5:11" x14ac:dyDescent="0.2">
      <c r="E310" s="10"/>
      <c r="F310" s="53"/>
      <c r="G310" s="9"/>
      <c r="J310" s="17"/>
      <c r="K310" s="17"/>
    </row>
    <row r="311" spans="5:11" x14ac:dyDescent="0.2">
      <c r="E311" s="10"/>
      <c r="F311" s="53"/>
      <c r="G311" s="9"/>
      <c r="J311" s="17"/>
      <c r="K311" s="17"/>
    </row>
    <row r="312" spans="5:11" x14ac:dyDescent="0.2">
      <c r="E312" s="10"/>
      <c r="F312" s="53"/>
      <c r="G312" s="9"/>
      <c r="J312" s="17"/>
      <c r="K312" s="17"/>
    </row>
    <row r="313" spans="5:11" x14ac:dyDescent="0.2">
      <c r="E313" s="10"/>
      <c r="F313" s="53"/>
      <c r="G313" s="9"/>
      <c r="J313" s="17"/>
      <c r="K313" s="17"/>
    </row>
    <row r="314" spans="5:11" x14ac:dyDescent="0.2">
      <c r="E314" s="10"/>
      <c r="F314" s="53"/>
      <c r="G314" s="9"/>
      <c r="J314" s="17"/>
      <c r="K314" s="17"/>
    </row>
    <row r="315" spans="5:11" x14ac:dyDescent="0.2">
      <c r="E315" s="10"/>
      <c r="F315" s="53"/>
      <c r="G315" s="9"/>
      <c r="J315" s="17"/>
      <c r="K315" s="17"/>
    </row>
    <row r="316" spans="5:11" x14ac:dyDescent="0.2">
      <c r="E316" s="10"/>
      <c r="F316" s="53"/>
      <c r="G316" s="9"/>
      <c r="J316" s="17"/>
      <c r="K316" s="17"/>
    </row>
    <row r="317" spans="5:11" x14ac:dyDescent="0.2">
      <c r="E317" s="10"/>
      <c r="F317" s="53"/>
      <c r="G317" s="9"/>
      <c r="J317" s="17"/>
      <c r="K317" s="17"/>
    </row>
    <row r="318" spans="5:11" x14ac:dyDescent="0.2">
      <c r="E318" s="10"/>
      <c r="F318" s="53"/>
      <c r="G318" s="9"/>
      <c r="J318" s="17"/>
      <c r="K318" s="17"/>
    </row>
    <row r="319" spans="5:11" x14ac:dyDescent="0.2">
      <c r="E319" s="10"/>
      <c r="F319" s="53"/>
      <c r="G319" s="9"/>
      <c r="J319" s="17"/>
      <c r="K319" s="17"/>
    </row>
    <row r="320" spans="5:11" x14ac:dyDescent="0.2">
      <c r="E320" s="10"/>
      <c r="F320" s="53"/>
      <c r="G320" s="9"/>
      <c r="J320" s="17"/>
      <c r="K320" s="17"/>
    </row>
    <row r="321" spans="5:11" x14ac:dyDescent="0.2">
      <c r="E321" s="10"/>
      <c r="F321" s="53"/>
      <c r="G321" s="9"/>
      <c r="J321" s="17"/>
      <c r="K321" s="17"/>
    </row>
    <row r="322" spans="5:11" x14ac:dyDescent="0.2">
      <c r="E322" s="10"/>
      <c r="F322" s="53"/>
      <c r="G322" s="9"/>
      <c r="J322" s="17"/>
      <c r="K322" s="17"/>
    </row>
    <row r="323" spans="5:11" x14ac:dyDescent="0.2">
      <c r="E323" s="10"/>
      <c r="F323" s="53"/>
      <c r="G323" s="9"/>
      <c r="J323" s="17"/>
      <c r="K323" s="17"/>
    </row>
    <row r="324" spans="5:11" x14ac:dyDescent="0.2">
      <c r="E324" s="10"/>
      <c r="F324" s="53"/>
      <c r="G324" s="9"/>
      <c r="J324" s="17"/>
      <c r="K324" s="17"/>
    </row>
    <row r="325" spans="5:11" x14ac:dyDescent="0.2">
      <c r="E325" s="10"/>
      <c r="F325" s="53"/>
      <c r="G325" s="9"/>
      <c r="J325" s="17"/>
      <c r="K325" s="17"/>
    </row>
    <row r="326" spans="5:11" x14ac:dyDescent="0.2">
      <c r="E326" s="10"/>
      <c r="F326" s="53"/>
      <c r="G326" s="9"/>
      <c r="J326" s="17"/>
      <c r="K326" s="17"/>
    </row>
    <row r="327" spans="5:11" x14ac:dyDescent="0.2">
      <c r="E327" s="10"/>
      <c r="F327" s="53"/>
      <c r="G327" s="9"/>
      <c r="J327" s="17"/>
      <c r="K327" s="17"/>
    </row>
    <row r="328" spans="5:11" x14ac:dyDescent="0.2">
      <c r="E328" s="10"/>
      <c r="F328" s="53"/>
      <c r="G328" s="9"/>
      <c r="J328" s="17"/>
      <c r="K328" s="17"/>
    </row>
    <row r="329" spans="5:11" x14ac:dyDescent="0.2">
      <c r="E329" s="10"/>
      <c r="F329" s="53"/>
      <c r="G329" s="9"/>
      <c r="J329" s="17"/>
      <c r="K329" s="17"/>
    </row>
    <row r="330" spans="5:11" x14ac:dyDescent="0.2">
      <c r="E330" s="10"/>
      <c r="F330" s="53"/>
      <c r="G330" s="9"/>
      <c r="J330" s="17"/>
      <c r="K330" s="17"/>
    </row>
    <row r="331" spans="5:11" x14ac:dyDescent="0.2">
      <c r="E331" s="10"/>
      <c r="F331" s="53"/>
      <c r="G331" s="9"/>
      <c r="J331" s="17"/>
      <c r="K331" s="17"/>
    </row>
    <row r="332" spans="5:11" x14ac:dyDescent="0.2">
      <c r="E332" s="10"/>
      <c r="F332" s="53"/>
      <c r="G332" s="9"/>
      <c r="J332" s="17"/>
      <c r="K332" s="17"/>
    </row>
    <row r="333" spans="5:11" x14ac:dyDescent="0.2">
      <c r="E333" s="10"/>
      <c r="F333" s="53"/>
      <c r="G333" s="9"/>
      <c r="J333" s="17"/>
      <c r="K333" s="17"/>
    </row>
    <row r="334" spans="5:11" x14ac:dyDescent="0.2">
      <c r="E334" s="10"/>
      <c r="F334" s="53"/>
      <c r="G334" s="9"/>
      <c r="J334" s="17"/>
      <c r="K334" s="17"/>
    </row>
    <row r="335" spans="5:11" x14ac:dyDescent="0.2">
      <c r="E335" s="10"/>
      <c r="F335" s="53"/>
      <c r="G335" s="9"/>
      <c r="J335" s="17"/>
      <c r="K335" s="17"/>
    </row>
    <row r="336" spans="5:11" x14ac:dyDescent="0.2">
      <c r="E336" s="10"/>
      <c r="F336" s="53"/>
      <c r="G336" s="9"/>
      <c r="J336" s="17"/>
      <c r="K336" s="17"/>
    </row>
    <row r="337" spans="5:11" x14ac:dyDescent="0.2">
      <c r="E337" s="10"/>
      <c r="F337" s="53"/>
      <c r="G337" s="9"/>
      <c r="J337" s="17"/>
      <c r="K337" s="17"/>
    </row>
    <row r="338" spans="5:11" x14ac:dyDescent="0.2">
      <c r="E338" s="10"/>
      <c r="F338" s="53"/>
      <c r="G338" s="9"/>
      <c r="J338" s="17"/>
      <c r="K338" s="17"/>
    </row>
    <row r="339" spans="5:11" x14ac:dyDescent="0.2">
      <c r="E339" s="10"/>
      <c r="F339" s="53"/>
      <c r="G339" s="9"/>
      <c r="J339" s="17"/>
      <c r="K339" s="17"/>
    </row>
    <row r="340" spans="5:11" x14ac:dyDescent="0.2">
      <c r="E340" s="10"/>
      <c r="F340" s="53"/>
      <c r="G340" s="9"/>
      <c r="J340" s="17"/>
      <c r="K340" s="17"/>
    </row>
    <row r="341" spans="5:11" x14ac:dyDescent="0.2">
      <c r="E341" s="10"/>
      <c r="F341" s="53"/>
      <c r="G341" s="9"/>
      <c r="J341" s="17"/>
      <c r="K341" s="17"/>
    </row>
    <row r="342" spans="5:11" x14ac:dyDescent="0.2">
      <c r="E342" s="10"/>
      <c r="F342" s="53"/>
      <c r="G342" s="9"/>
      <c r="J342" s="17"/>
      <c r="K342" s="17"/>
    </row>
    <row r="343" spans="5:11" x14ac:dyDescent="0.2">
      <c r="E343" s="10"/>
      <c r="F343" s="53"/>
      <c r="G343" s="9"/>
      <c r="J343" s="17"/>
      <c r="K343" s="17"/>
    </row>
    <row r="344" spans="5:11" x14ac:dyDescent="0.2">
      <c r="E344" s="10"/>
      <c r="F344" s="53"/>
      <c r="G344" s="9"/>
      <c r="J344" s="17"/>
      <c r="K344" s="17"/>
    </row>
    <row r="345" spans="5:11" x14ac:dyDescent="0.2">
      <c r="E345" s="10"/>
      <c r="F345" s="53"/>
      <c r="G345" s="9"/>
      <c r="J345" s="17"/>
      <c r="K345" s="17"/>
    </row>
    <row r="346" spans="5:11" x14ac:dyDescent="0.2">
      <c r="E346" s="10"/>
      <c r="F346" s="53"/>
      <c r="G346" s="9"/>
      <c r="J346" s="17"/>
      <c r="K346" s="17"/>
    </row>
    <row r="347" spans="5:11" x14ac:dyDescent="0.2">
      <c r="E347" s="10"/>
      <c r="F347" s="53"/>
      <c r="G347" s="9"/>
      <c r="J347" s="17"/>
      <c r="K347" s="17"/>
    </row>
    <row r="348" spans="5:11" x14ac:dyDescent="0.2">
      <c r="E348" s="10"/>
      <c r="F348" s="53"/>
      <c r="G348" s="9"/>
      <c r="J348" s="17"/>
      <c r="K348" s="17"/>
    </row>
    <row r="349" spans="5:11" x14ac:dyDescent="0.2">
      <c r="E349" s="10"/>
      <c r="F349" s="53"/>
      <c r="G349" s="9"/>
      <c r="J349" s="17"/>
      <c r="K349" s="17"/>
    </row>
    <row r="350" spans="5:11" x14ac:dyDescent="0.2">
      <c r="E350" s="10"/>
      <c r="F350" s="53"/>
      <c r="G350" s="9"/>
      <c r="J350" s="17"/>
      <c r="K350" s="17"/>
    </row>
    <row r="351" spans="5:11" x14ac:dyDescent="0.2">
      <c r="E351" s="10"/>
      <c r="F351" s="53"/>
      <c r="G351" s="9"/>
      <c r="J351" s="17"/>
      <c r="K351" s="17"/>
    </row>
    <row r="352" spans="5:11" x14ac:dyDescent="0.2">
      <c r="E352" s="10"/>
      <c r="F352" s="53"/>
      <c r="G352" s="9"/>
      <c r="J352" s="17"/>
      <c r="K352" s="17"/>
    </row>
    <row r="353" spans="5:11" x14ac:dyDescent="0.2">
      <c r="E353" s="10"/>
      <c r="F353" s="53"/>
      <c r="G353" s="9"/>
      <c r="J353" s="17"/>
      <c r="K353" s="17"/>
    </row>
    <row r="354" spans="5:11" x14ac:dyDescent="0.2">
      <c r="E354" s="10"/>
      <c r="F354" s="53"/>
      <c r="G354" s="9"/>
      <c r="J354" s="17"/>
      <c r="K354" s="17"/>
    </row>
    <row r="355" spans="5:11" x14ac:dyDescent="0.2">
      <c r="E355" s="10"/>
      <c r="F355" s="53"/>
      <c r="G355" s="9"/>
      <c r="J355" s="17"/>
      <c r="K355" s="17"/>
    </row>
    <row r="356" spans="5:11" x14ac:dyDescent="0.2">
      <c r="E356" s="10"/>
      <c r="F356" s="53"/>
      <c r="G356" s="9"/>
      <c r="J356" s="17"/>
      <c r="K356" s="17"/>
    </row>
    <row r="357" spans="5:11" x14ac:dyDescent="0.2">
      <c r="E357" s="10"/>
      <c r="F357" s="53"/>
      <c r="G357" s="9"/>
      <c r="J357" s="17"/>
      <c r="K357" s="17"/>
    </row>
    <row r="358" spans="5:11" x14ac:dyDescent="0.2">
      <c r="E358" s="10"/>
      <c r="F358" s="53"/>
      <c r="G358" s="9"/>
      <c r="J358" s="17"/>
      <c r="K358" s="17"/>
    </row>
    <row r="359" spans="5:11" x14ac:dyDescent="0.2">
      <c r="E359" s="10"/>
      <c r="F359" s="53"/>
      <c r="G359" s="9"/>
      <c r="J359" s="17"/>
      <c r="K359" s="17"/>
    </row>
    <row r="360" spans="5:11" x14ac:dyDescent="0.2">
      <c r="E360" s="10"/>
      <c r="F360" s="53"/>
      <c r="G360" s="9"/>
      <c r="J360" s="17"/>
      <c r="K360" s="17"/>
    </row>
    <row r="361" spans="5:11" x14ac:dyDescent="0.2">
      <c r="E361" s="10"/>
      <c r="F361" s="53"/>
      <c r="G361" s="9"/>
      <c r="J361" s="17"/>
      <c r="K361" s="17"/>
    </row>
    <row r="362" spans="5:11" x14ac:dyDescent="0.2">
      <c r="E362" s="10"/>
      <c r="F362" s="53"/>
      <c r="G362" s="9"/>
      <c r="J362" s="17"/>
      <c r="K362" s="17"/>
    </row>
    <row r="363" spans="5:11" x14ac:dyDescent="0.2">
      <c r="E363" s="10"/>
      <c r="F363" s="53"/>
      <c r="G363" s="9"/>
      <c r="J363" s="17"/>
      <c r="K363" s="17"/>
    </row>
    <row r="364" spans="5:11" x14ac:dyDescent="0.2">
      <c r="E364" s="10"/>
      <c r="F364" s="53"/>
      <c r="G364" s="9"/>
      <c r="J364" s="17"/>
      <c r="K364" s="17"/>
    </row>
    <row r="365" spans="5:11" x14ac:dyDescent="0.2">
      <c r="E365" s="10"/>
      <c r="F365" s="53"/>
      <c r="G365" s="9"/>
      <c r="J365" s="17"/>
      <c r="K365" s="17"/>
    </row>
    <row r="366" spans="5:11" x14ac:dyDescent="0.2">
      <c r="E366" s="10"/>
      <c r="F366" s="53"/>
      <c r="G366" s="9"/>
      <c r="J366" s="17"/>
      <c r="K366" s="17"/>
    </row>
    <row r="367" spans="5:11" x14ac:dyDescent="0.2">
      <c r="E367" s="10"/>
      <c r="F367" s="53"/>
      <c r="G367" s="9"/>
      <c r="J367" s="17"/>
      <c r="K367" s="17"/>
    </row>
    <row r="368" spans="5:11" x14ac:dyDescent="0.2">
      <c r="E368" s="10"/>
      <c r="F368" s="53"/>
      <c r="G368" s="9"/>
      <c r="J368" s="17"/>
      <c r="K368" s="17"/>
    </row>
    <row r="369" spans="5:11" x14ac:dyDescent="0.2">
      <c r="E369" s="10"/>
      <c r="F369" s="53"/>
      <c r="G369" s="9"/>
      <c r="J369" s="17"/>
      <c r="K369" s="17"/>
    </row>
    <row r="370" spans="5:11" x14ac:dyDescent="0.2">
      <c r="E370" s="10"/>
      <c r="F370" s="53"/>
      <c r="G370" s="9"/>
      <c r="J370" s="17"/>
      <c r="K370" s="17"/>
    </row>
    <row r="371" spans="5:11" x14ac:dyDescent="0.2">
      <c r="E371" s="10"/>
      <c r="F371" s="53"/>
      <c r="G371" s="9"/>
      <c r="J371" s="17"/>
      <c r="K371" s="17"/>
    </row>
    <row r="372" spans="5:11" x14ac:dyDescent="0.2">
      <c r="E372" s="10"/>
      <c r="F372" s="53"/>
      <c r="G372" s="9"/>
      <c r="J372" s="17"/>
      <c r="K372" s="17"/>
    </row>
    <row r="373" spans="5:11" x14ac:dyDescent="0.2">
      <c r="E373" s="10"/>
      <c r="F373" s="53"/>
      <c r="G373" s="9"/>
      <c r="J373" s="17"/>
      <c r="K373" s="17"/>
    </row>
    <row r="374" spans="5:11" x14ac:dyDescent="0.2">
      <c r="E374" s="10"/>
      <c r="F374" s="53"/>
      <c r="G374" s="9"/>
      <c r="J374" s="17"/>
      <c r="K374" s="17"/>
    </row>
    <row r="375" spans="5:11" x14ac:dyDescent="0.2">
      <c r="E375" s="10"/>
      <c r="F375" s="53"/>
      <c r="G375" s="9"/>
      <c r="J375" s="17"/>
      <c r="K375" s="17"/>
    </row>
    <row r="376" spans="5:11" x14ac:dyDescent="0.2">
      <c r="E376" s="10"/>
      <c r="F376" s="53"/>
      <c r="G376" s="9"/>
      <c r="J376" s="17"/>
      <c r="K376" s="17"/>
    </row>
    <row r="377" spans="5:11" x14ac:dyDescent="0.2">
      <c r="E377" s="10"/>
      <c r="F377" s="53"/>
      <c r="G377" s="9"/>
      <c r="J377" s="17"/>
      <c r="K377" s="17"/>
    </row>
    <row r="378" spans="5:11" x14ac:dyDescent="0.2">
      <c r="E378" s="10"/>
      <c r="F378" s="53"/>
      <c r="G378" s="9"/>
      <c r="J378" s="17"/>
      <c r="K378" s="17"/>
    </row>
    <row r="379" spans="5:11" x14ac:dyDescent="0.2">
      <c r="E379" s="10"/>
      <c r="F379" s="53"/>
      <c r="G379" s="9"/>
      <c r="J379" s="17"/>
      <c r="K379" s="17"/>
    </row>
    <row r="380" spans="5:11" x14ac:dyDescent="0.2">
      <c r="E380" s="10"/>
      <c r="F380" s="53"/>
      <c r="G380" s="9"/>
      <c r="J380" s="17"/>
      <c r="K380" s="17"/>
    </row>
    <row r="381" spans="5:11" x14ac:dyDescent="0.2">
      <c r="E381" s="10"/>
      <c r="F381" s="53"/>
      <c r="G381" s="9"/>
      <c r="J381" s="17"/>
      <c r="K381" s="17"/>
    </row>
    <row r="382" spans="5:11" x14ac:dyDescent="0.2">
      <c r="E382" s="10"/>
      <c r="F382" s="53"/>
      <c r="G382" s="9"/>
      <c r="J382" s="17"/>
      <c r="K382" s="17"/>
    </row>
    <row r="383" spans="5:11" x14ac:dyDescent="0.2">
      <c r="E383" s="10"/>
      <c r="F383" s="53"/>
      <c r="G383" s="9"/>
      <c r="J383" s="17"/>
      <c r="K383" s="17"/>
    </row>
    <row r="384" spans="5:11" x14ac:dyDescent="0.2">
      <c r="E384" s="10"/>
      <c r="F384" s="53"/>
      <c r="G384" s="9"/>
      <c r="J384" s="17"/>
      <c r="K384" s="17"/>
    </row>
    <row r="385" spans="5:11" x14ac:dyDescent="0.2">
      <c r="E385" s="10"/>
      <c r="F385" s="53"/>
      <c r="G385" s="9"/>
      <c r="J385" s="17"/>
      <c r="K385" s="17"/>
    </row>
    <row r="386" spans="5:11" x14ac:dyDescent="0.2">
      <c r="E386" s="10"/>
      <c r="F386" s="53"/>
      <c r="G386" s="9"/>
      <c r="J386" s="17"/>
      <c r="K386" s="17"/>
    </row>
    <row r="387" spans="5:11" x14ac:dyDescent="0.2">
      <c r="E387" s="10"/>
      <c r="F387" s="53"/>
      <c r="G387" s="9"/>
      <c r="J387" s="17"/>
      <c r="K387" s="17"/>
    </row>
    <row r="388" spans="5:11" x14ac:dyDescent="0.2">
      <c r="E388" s="10"/>
      <c r="F388" s="53"/>
      <c r="G388" s="9"/>
      <c r="J388" s="17"/>
      <c r="K388" s="17"/>
    </row>
    <row r="389" spans="5:11" x14ac:dyDescent="0.2">
      <c r="E389" s="10"/>
      <c r="F389" s="53"/>
      <c r="G389" s="9"/>
      <c r="J389" s="17"/>
      <c r="K389" s="17"/>
    </row>
    <row r="390" spans="5:11" x14ac:dyDescent="0.2">
      <c r="E390" s="10"/>
      <c r="F390" s="53"/>
      <c r="G390" s="9"/>
      <c r="J390" s="17"/>
      <c r="K390" s="17"/>
    </row>
    <row r="391" spans="5:11" x14ac:dyDescent="0.2">
      <c r="E391" s="10"/>
      <c r="F391" s="53"/>
      <c r="G391" s="9"/>
      <c r="J391" s="17"/>
      <c r="K391" s="17"/>
    </row>
    <row r="392" spans="5:11" x14ac:dyDescent="0.2">
      <c r="E392" s="10"/>
      <c r="F392" s="53"/>
      <c r="G392" s="9"/>
      <c r="J392" s="17"/>
      <c r="K392" s="17"/>
    </row>
    <row r="393" spans="5:11" x14ac:dyDescent="0.2">
      <c r="E393" s="10"/>
      <c r="F393" s="53"/>
      <c r="G393" s="9"/>
      <c r="J393" s="17"/>
      <c r="K393" s="17"/>
    </row>
    <row r="394" spans="5:11" x14ac:dyDescent="0.2">
      <c r="E394" s="10"/>
      <c r="F394" s="53"/>
      <c r="G394" s="9"/>
      <c r="J394" s="17"/>
      <c r="K394" s="17"/>
    </row>
    <row r="395" spans="5:11" x14ac:dyDescent="0.2">
      <c r="E395" s="10"/>
      <c r="F395" s="53"/>
      <c r="G395" s="9"/>
      <c r="J395" s="17"/>
      <c r="K395" s="17"/>
    </row>
    <row r="396" spans="5:11" x14ac:dyDescent="0.2">
      <c r="E396" s="10"/>
      <c r="F396" s="53"/>
      <c r="G396" s="9"/>
      <c r="J396" s="17"/>
      <c r="K396" s="17"/>
    </row>
    <row r="397" spans="5:11" x14ac:dyDescent="0.2">
      <c r="E397" s="10"/>
      <c r="F397" s="53"/>
      <c r="G397" s="9"/>
      <c r="J397" s="17"/>
      <c r="K397" s="17"/>
    </row>
    <row r="398" spans="5:11" x14ac:dyDescent="0.2">
      <c r="E398" s="10"/>
      <c r="F398" s="53"/>
      <c r="G398" s="9"/>
      <c r="J398" s="17"/>
      <c r="K398" s="17"/>
    </row>
    <row r="399" spans="5:11" x14ac:dyDescent="0.2">
      <c r="E399" s="10"/>
      <c r="F399" s="53"/>
      <c r="G399" s="9"/>
      <c r="J399" s="17"/>
      <c r="K399" s="17"/>
    </row>
    <row r="400" spans="5:11" x14ac:dyDescent="0.2">
      <c r="E400" s="10"/>
      <c r="F400" s="53"/>
      <c r="G400" s="9"/>
      <c r="J400" s="17"/>
      <c r="K400" s="17"/>
    </row>
    <row r="401" spans="5:11" x14ac:dyDescent="0.2">
      <c r="E401" s="10"/>
      <c r="F401" s="53"/>
      <c r="G401" s="9"/>
      <c r="J401" s="17"/>
      <c r="K401" s="17"/>
    </row>
    <row r="402" spans="5:11" x14ac:dyDescent="0.2">
      <c r="E402" s="10"/>
      <c r="F402" s="53"/>
      <c r="G402" s="9"/>
      <c r="J402" s="17"/>
      <c r="K402" s="17"/>
    </row>
    <row r="403" spans="5:11" x14ac:dyDescent="0.2">
      <c r="E403" s="10"/>
      <c r="F403" s="53"/>
      <c r="G403" s="9"/>
      <c r="J403" s="17"/>
      <c r="K403" s="17"/>
    </row>
    <row r="404" spans="5:11" x14ac:dyDescent="0.2">
      <c r="E404" s="10"/>
      <c r="F404" s="53"/>
      <c r="G404" s="9"/>
      <c r="J404" s="17"/>
      <c r="K404" s="17"/>
    </row>
    <row r="405" spans="5:11" x14ac:dyDescent="0.2">
      <c r="E405" s="10"/>
      <c r="F405" s="53"/>
      <c r="G405" s="9"/>
      <c r="J405" s="17"/>
      <c r="K405" s="17"/>
    </row>
    <row r="406" spans="5:11" x14ac:dyDescent="0.2">
      <c r="E406" s="10"/>
      <c r="F406" s="53"/>
      <c r="G406" s="9"/>
      <c r="J406" s="17"/>
      <c r="K406" s="17"/>
    </row>
    <row r="407" spans="5:11" x14ac:dyDescent="0.2">
      <c r="E407" s="10"/>
      <c r="F407" s="53"/>
      <c r="G407" s="9"/>
      <c r="J407" s="17"/>
      <c r="K407" s="17"/>
    </row>
    <row r="408" spans="5:11" x14ac:dyDescent="0.2">
      <c r="E408" s="10"/>
      <c r="F408" s="53"/>
      <c r="G408" s="9"/>
      <c r="J408" s="17"/>
      <c r="K408" s="17"/>
    </row>
    <row r="409" spans="5:11" x14ac:dyDescent="0.2">
      <c r="E409" s="10"/>
      <c r="F409" s="53"/>
      <c r="G409" s="9"/>
      <c r="J409" s="17"/>
      <c r="K409" s="17"/>
    </row>
    <row r="410" spans="5:11" x14ac:dyDescent="0.2">
      <c r="E410" s="10"/>
      <c r="F410" s="53"/>
      <c r="G410" s="9"/>
      <c r="J410" s="17"/>
      <c r="K410" s="17"/>
    </row>
    <row r="411" spans="5:11" x14ac:dyDescent="0.2">
      <c r="E411" s="10"/>
      <c r="F411" s="53"/>
      <c r="G411" s="9"/>
      <c r="J411" s="17"/>
      <c r="K411" s="17"/>
    </row>
    <row r="412" spans="5:11" x14ac:dyDescent="0.2">
      <c r="E412" s="10"/>
      <c r="F412" s="53"/>
      <c r="G412" s="9"/>
      <c r="J412" s="17"/>
      <c r="K412" s="17"/>
    </row>
    <row r="413" spans="5:11" x14ac:dyDescent="0.2">
      <c r="E413" s="10"/>
      <c r="F413" s="53"/>
      <c r="G413" s="9"/>
      <c r="J413" s="17"/>
      <c r="K413" s="17"/>
    </row>
    <row r="414" spans="5:11" x14ac:dyDescent="0.2">
      <c r="E414" s="10"/>
      <c r="F414" s="53"/>
      <c r="G414" s="9"/>
      <c r="J414" s="17"/>
      <c r="K414" s="17"/>
    </row>
    <row r="415" spans="5:11" x14ac:dyDescent="0.2">
      <c r="E415" s="10"/>
      <c r="F415" s="53"/>
      <c r="G415" s="9"/>
      <c r="J415" s="17"/>
      <c r="K415" s="17"/>
    </row>
    <row r="416" spans="5:11" x14ac:dyDescent="0.2">
      <c r="E416" s="10"/>
      <c r="F416" s="53"/>
      <c r="G416" s="9"/>
      <c r="J416" s="17"/>
      <c r="K416" s="17"/>
    </row>
    <row r="417" spans="5:11" x14ac:dyDescent="0.2">
      <c r="E417" s="10"/>
      <c r="F417" s="53"/>
      <c r="G417" s="9"/>
      <c r="J417" s="17"/>
      <c r="K417" s="17"/>
    </row>
    <row r="418" spans="5:11" x14ac:dyDescent="0.2">
      <c r="E418" s="10"/>
      <c r="F418" s="53"/>
      <c r="G418" s="9"/>
      <c r="J418" s="17"/>
      <c r="K418" s="17"/>
    </row>
    <row r="419" spans="5:11" x14ac:dyDescent="0.2">
      <c r="E419" s="10"/>
      <c r="F419" s="53"/>
      <c r="G419" s="9"/>
      <c r="J419" s="17"/>
      <c r="K419" s="17"/>
    </row>
    <row r="420" spans="5:11" x14ac:dyDescent="0.2">
      <c r="E420" s="10"/>
      <c r="F420" s="53"/>
      <c r="G420" s="9"/>
      <c r="J420" s="17"/>
      <c r="K420" s="17"/>
    </row>
    <row r="421" spans="5:11" x14ac:dyDescent="0.2">
      <c r="E421" s="10"/>
      <c r="F421" s="53"/>
      <c r="G421" s="9"/>
      <c r="J421" s="17"/>
      <c r="K421" s="17"/>
    </row>
    <row r="422" spans="5:11" x14ac:dyDescent="0.2">
      <c r="E422" s="10"/>
      <c r="F422" s="53"/>
      <c r="G422" s="9"/>
      <c r="J422" s="17"/>
      <c r="K422" s="17"/>
    </row>
    <row r="423" spans="5:11" x14ac:dyDescent="0.2">
      <c r="E423" s="10"/>
      <c r="F423" s="53"/>
      <c r="G423" s="9"/>
      <c r="J423" s="17"/>
      <c r="K423" s="17"/>
    </row>
    <row r="424" spans="5:11" x14ac:dyDescent="0.2">
      <c r="E424" s="10"/>
      <c r="F424" s="53"/>
      <c r="G424" s="9"/>
      <c r="J424" s="17"/>
      <c r="K424" s="17"/>
    </row>
    <row r="425" spans="5:11" x14ac:dyDescent="0.2">
      <c r="E425" s="10"/>
      <c r="F425" s="53"/>
      <c r="G425" s="9"/>
      <c r="J425" s="17"/>
      <c r="K425" s="17"/>
    </row>
    <row r="426" spans="5:11" x14ac:dyDescent="0.2">
      <c r="E426" s="10"/>
      <c r="F426" s="53"/>
      <c r="G426" s="9"/>
      <c r="J426" s="17"/>
      <c r="K426" s="17"/>
    </row>
    <row r="427" spans="5:11" x14ac:dyDescent="0.2">
      <c r="E427" s="10"/>
      <c r="F427" s="53"/>
      <c r="G427" s="9"/>
      <c r="J427" s="17"/>
      <c r="K427" s="17"/>
    </row>
    <row r="428" spans="5:11" x14ac:dyDescent="0.2">
      <c r="E428" s="10"/>
      <c r="F428" s="53"/>
      <c r="G428" s="9"/>
      <c r="J428" s="17"/>
      <c r="K428" s="17"/>
    </row>
    <row r="429" spans="5:11" x14ac:dyDescent="0.2">
      <c r="E429" s="10"/>
      <c r="F429" s="53"/>
      <c r="G429" s="9"/>
      <c r="J429" s="17"/>
      <c r="K429" s="17"/>
    </row>
    <row r="430" spans="5:11" x14ac:dyDescent="0.2">
      <c r="E430" s="10"/>
      <c r="F430" s="53"/>
      <c r="G430" s="9"/>
      <c r="J430" s="17"/>
      <c r="K430" s="17"/>
    </row>
    <row r="431" spans="5:11" x14ac:dyDescent="0.2">
      <c r="E431" s="10"/>
      <c r="F431" s="53"/>
      <c r="G431" s="9"/>
      <c r="J431" s="17"/>
      <c r="K431" s="17"/>
    </row>
    <row r="432" spans="5:11" x14ac:dyDescent="0.2">
      <c r="E432" s="10"/>
      <c r="F432" s="53"/>
      <c r="G432" s="9"/>
      <c r="J432" s="17"/>
      <c r="K432" s="17"/>
    </row>
    <row r="433" spans="5:11" x14ac:dyDescent="0.2">
      <c r="E433" s="10"/>
      <c r="F433" s="53"/>
      <c r="G433" s="9"/>
      <c r="J433" s="17"/>
      <c r="K433" s="17"/>
    </row>
    <row r="434" spans="5:11" x14ac:dyDescent="0.2">
      <c r="E434" s="10"/>
      <c r="F434" s="53"/>
      <c r="G434" s="9"/>
      <c r="J434" s="17"/>
      <c r="K434" s="17"/>
    </row>
    <row r="435" spans="5:11" x14ac:dyDescent="0.2">
      <c r="E435" s="10"/>
      <c r="F435" s="53"/>
      <c r="G435" s="9"/>
      <c r="J435" s="17"/>
      <c r="K435" s="17"/>
    </row>
    <row r="436" spans="5:11" x14ac:dyDescent="0.2">
      <c r="E436" s="10"/>
      <c r="F436" s="53"/>
      <c r="G436" s="9"/>
      <c r="J436" s="17"/>
      <c r="K436" s="17"/>
    </row>
    <row r="437" spans="5:11" x14ac:dyDescent="0.2">
      <c r="E437" s="10"/>
      <c r="F437" s="53"/>
      <c r="G437" s="9"/>
      <c r="J437" s="17"/>
      <c r="K437" s="17"/>
    </row>
    <row r="438" spans="5:11" x14ac:dyDescent="0.2">
      <c r="E438" s="10"/>
      <c r="F438" s="53"/>
      <c r="G438" s="9"/>
      <c r="J438" s="17"/>
      <c r="K438" s="17"/>
    </row>
    <row r="439" spans="5:11" x14ac:dyDescent="0.2">
      <c r="E439" s="10"/>
      <c r="F439" s="53"/>
      <c r="G439" s="9"/>
      <c r="J439" s="17"/>
      <c r="K439" s="17"/>
    </row>
    <row r="440" spans="5:11" x14ac:dyDescent="0.2">
      <c r="E440" s="10"/>
      <c r="F440" s="53"/>
      <c r="G440" s="9"/>
      <c r="J440" s="17"/>
      <c r="K440" s="17"/>
    </row>
    <row r="441" spans="5:11" x14ac:dyDescent="0.2">
      <c r="E441" s="10"/>
      <c r="F441" s="53"/>
      <c r="G441" s="9"/>
      <c r="J441" s="17"/>
      <c r="K441" s="17"/>
    </row>
    <row r="442" spans="5:11" x14ac:dyDescent="0.2">
      <c r="E442" s="10"/>
      <c r="F442" s="53"/>
      <c r="G442" s="9"/>
      <c r="J442" s="17"/>
      <c r="K442" s="17"/>
    </row>
    <row r="443" spans="5:11" x14ac:dyDescent="0.2">
      <c r="E443" s="10"/>
      <c r="F443" s="53"/>
      <c r="G443" s="9"/>
      <c r="J443" s="17"/>
      <c r="K443" s="17"/>
    </row>
    <row r="444" spans="5:11" x14ac:dyDescent="0.2">
      <c r="E444" s="10"/>
      <c r="F444" s="53"/>
      <c r="G444" s="9"/>
      <c r="J444" s="17"/>
      <c r="K444" s="17"/>
    </row>
    <row r="445" spans="5:11" x14ac:dyDescent="0.2">
      <c r="E445" s="10"/>
      <c r="F445" s="53"/>
      <c r="G445" s="9"/>
      <c r="J445" s="17"/>
      <c r="K445" s="17"/>
    </row>
    <row r="446" spans="5:11" x14ac:dyDescent="0.2">
      <c r="E446" s="10"/>
      <c r="F446" s="53"/>
      <c r="G446" s="9"/>
      <c r="J446" s="17"/>
      <c r="K446" s="17"/>
    </row>
    <row r="447" spans="5:11" x14ac:dyDescent="0.2">
      <c r="E447" s="10"/>
      <c r="F447" s="53"/>
      <c r="G447" s="9"/>
      <c r="J447" s="17"/>
      <c r="K447" s="17"/>
    </row>
    <row r="448" spans="5:11" x14ac:dyDescent="0.2">
      <c r="E448" s="10"/>
      <c r="F448" s="53"/>
      <c r="G448" s="9"/>
      <c r="J448" s="17"/>
      <c r="K448" s="17"/>
    </row>
    <row r="449" spans="5:11" x14ac:dyDescent="0.2">
      <c r="E449" s="10"/>
      <c r="F449" s="53"/>
      <c r="G449" s="9"/>
      <c r="J449" s="17"/>
      <c r="K449" s="17"/>
    </row>
    <row r="450" spans="5:11" x14ac:dyDescent="0.2">
      <c r="E450" s="10"/>
      <c r="F450" s="53"/>
      <c r="G450" s="9"/>
      <c r="J450" s="17"/>
      <c r="K450" s="17"/>
    </row>
    <row r="451" spans="5:11" x14ac:dyDescent="0.2">
      <c r="E451" s="10"/>
      <c r="F451" s="53"/>
      <c r="G451" s="9"/>
      <c r="J451" s="17"/>
      <c r="K451" s="17"/>
    </row>
    <row r="452" spans="5:11" x14ac:dyDescent="0.2">
      <c r="E452" s="10"/>
      <c r="F452" s="53"/>
      <c r="G452" s="9"/>
      <c r="J452" s="17"/>
      <c r="K452" s="17"/>
    </row>
    <row r="453" spans="5:11" x14ac:dyDescent="0.2">
      <c r="E453" s="10"/>
      <c r="F453" s="53"/>
      <c r="G453" s="9"/>
      <c r="J453" s="17"/>
      <c r="K453" s="17"/>
    </row>
    <row r="454" spans="5:11" x14ac:dyDescent="0.2">
      <c r="E454" s="10"/>
      <c r="F454" s="53"/>
      <c r="G454" s="9"/>
      <c r="J454" s="17"/>
      <c r="K454" s="17"/>
    </row>
    <row r="455" spans="5:11" x14ac:dyDescent="0.2">
      <c r="E455" s="10"/>
      <c r="F455" s="53"/>
      <c r="G455" s="9"/>
      <c r="J455" s="17"/>
      <c r="K455" s="17"/>
    </row>
    <row r="456" spans="5:11" x14ac:dyDescent="0.2">
      <c r="E456" s="10"/>
      <c r="F456" s="53"/>
      <c r="G456" s="9"/>
      <c r="J456" s="17"/>
      <c r="K456" s="17"/>
    </row>
    <row r="457" spans="5:11" x14ac:dyDescent="0.2">
      <c r="E457" s="10"/>
      <c r="F457" s="53"/>
      <c r="G457" s="9"/>
      <c r="J457" s="17"/>
      <c r="K457" s="17"/>
    </row>
    <row r="458" spans="5:11" x14ac:dyDescent="0.2">
      <c r="E458" s="10"/>
      <c r="F458" s="53"/>
      <c r="G458" s="9"/>
      <c r="J458" s="17"/>
      <c r="K458" s="17"/>
    </row>
    <row r="459" spans="5:11" x14ac:dyDescent="0.2">
      <c r="E459" s="10"/>
      <c r="F459" s="53"/>
      <c r="G459" s="9"/>
      <c r="J459" s="17"/>
      <c r="K459" s="17"/>
    </row>
    <row r="460" spans="5:11" x14ac:dyDescent="0.2">
      <c r="E460" s="10"/>
      <c r="F460" s="53"/>
      <c r="G460" s="9"/>
      <c r="J460" s="17"/>
      <c r="K460" s="17"/>
    </row>
    <row r="461" spans="5:11" x14ac:dyDescent="0.2">
      <c r="E461" s="10"/>
      <c r="F461" s="53"/>
      <c r="G461" s="9"/>
      <c r="J461" s="17"/>
      <c r="K461" s="17"/>
    </row>
    <row r="462" spans="5:11" x14ac:dyDescent="0.2">
      <c r="E462" s="10"/>
      <c r="F462" s="53"/>
      <c r="G462" s="9"/>
      <c r="J462" s="17"/>
      <c r="K462" s="17"/>
    </row>
    <row r="463" spans="5:11" x14ac:dyDescent="0.2">
      <c r="E463" s="10"/>
      <c r="F463" s="53"/>
      <c r="G463" s="9"/>
      <c r="J463" s="17"/>
      <c r="K463" s="17"/>
    </row>
    <row r="464" spans="5:11" x14ac:dyDescent="0.2">
      <c r="E464" s="10"/>
      <c r="F464" s="53"/>
      <c r="G464" s="9"/>
      <c r="J464" s="17"/>
      <c r="K464" s="17"/>
    </row>
    <row r="465" spans="5:11" x14ac:dyDescent="0.2">
      <c r="E465" s="10"/>
      <c r="F465" s="53"/>
      <c r="G465" s="9"/>
      <c r="J465" s="17"/>
      <c r="K465" s="17"/>
    </row>
    <row r="466" spans="5:11" x14ac:dyDescent="0.2">
      <c r="E466" s="10"/>
      <c r="F466" s="53"/>
      <c r="G466" s="9"/>
      <c r="J466" s="17"/>
      <c r="K466" s="17"/>
    </row>
    <row r="467" spans="5:11" x14ac:dyDescent="0.2">
      <c r="E467" s="10"/>
      <c r="F467" s="53"/>
      <c r="G467" s="9"/>
      <c r="J467" s="17"/>
      <c r="K467" s="17"/>
    </row>
    <row r="468" spans="5:11" x14ac:dyDescent="0.2">
      <c r="E468" s="10"/>
      <c r="F468" s="53"/>
      <c r="G468" s="9"/>
      <c r="J468" s="17"/>
      <c r="K468" s="17"/>
    </row>
    <row r="469" spans="5:11" x14ac:dyDescent="0.2">
      <c r="E469" s="10"/>
      <c r="F469" s="53"/>
      <c r="G469" s="9"/>
      <c r="J469" s="17"/>
      <c r="K469" s="17"/>
    </row>
    <row r="470" spans="5:11" x14ac:dyDescent="0.2">
      <c r="E470" s="10"/>
      <c r="F470" s="53"/>
      <c r="G470" s="9"/>
      <c r="J470" s="17"/>
      <c r="K470" s="17"/>
    </row>
    <row r="471" spans="5:11" x14ac:dyDescent="0.2">
      <c r="E471" s="10"/>
      <c r="F471" s="53"/>
      <c r="G471" s="9"/>
      <c r="J471" s="17"/>
      <c r="K471" s="17"/>
    </row>
    <row r="472" spans="5:11" x14ac:dyDescent="0.2">
      <c r="E472" s="10"/>
      <c r="F472" s="53"/>
      <c r="G472" s="9"/>
      <c r="J472" s="17"/>
      <c r="K472" s="17"/>
    </row>
    <row r="473" spans="5:11" x14ac:dyDescent="0.2">
      <c r="E473" s="10"/>
      <c r="F473" s="53"/>
      <c r="G473" s="9"/>
      <c r="J473" s="17"/>
      <c r="K473" s="17"/>
    </row>
    <row r="474" spans="5:11" x14ac:dyDescent="0.2">
      <c r="E474" s="10"/>
      <c r="F474" s="53"/>
      <c r="G474" s="9"/>
      <c r="J474" s="17"/>
      <c r="K474" s="17"/>
    </row>
    <row r="475" spans="5:11" x14ac:dyDescent="0.2">
      <c r="E475" s="10"/>
      <c r="F475" s="53"/>
      <c r="G475" s="9"/>
      <c r="J475" s="17"/>
      <c r="K475" s="17"/>
    </row>
    <row r="476" spans="5:11" x14ac:dyDescent="0.2">
      <c r="E476" s="10"/>
      <c r="F476" s="53"/>
      <c r="G476" s="9"/>
      <c r="J476" s="17"/>
      <c r="K476" s="17"/>
    </row>
    <row r="477" spans="5:11" x14ac:dyDescent="0.2">
      <c r="E477" s="10"/>
      <c r="F477" s="53"/>
      <c r="G477" s="9"/>
      <c r="J477" s="17"/>
      <c r="K477" s="17"/>
    </row>
    <row r="478" spans="5:11" x14ac:dyDescent="0.2">
      <c r="E478" s="10"/>
      <c r="F478" s="53"/>
      <c r="G478" s="9"/>
      <c r="J478" s="17"/>
      <c r="K478" s="17"/>
    </row>
    <row r="479" spans="5:11" x14ac:dyDescent="0.2">
      <c r="E479" s="10"/>
      <c r="F479" s="53"/>
      <c r="G479" s="9"/>
      <c r="J479" s="17"/>
      <c r="K479" s="17"/>
    </row>
    <row r="480" spans="5:11" x14ac:dyDescent="0.2">
      <c r="E480" s="10"/>
      <c r="F480" s="53"/>
      <c r="G480" s="9"/>
      <c r="J480" s="17"/>
      <c r="K480" s="17"/>
    </row>
    <row r="481" spans="5:11" x14ac:dyDescent="0.2">
      <c r="E481" s="10"/>
      <c r="F481" s="53"/>
      <c r="G481" s="9"/>
      <c r="J481" s="17"/>
      <c r="K481" s="17"/>
    </row>
    <row r="482" spans="5:11" x14ac:dyDescent="0.2">
      <c r="E482" s="10"/>
      <c r="F482" s="53"/>
      <c r="G482" s="9"/>
      <c r="J482" s="17"/>
      <c r="K482" s="17"/>
    </row>
    <row r="483" spans="5:11" x14ac:dyDescent="0.2">
      <c r="E483" s="10"/>
      <c r="F483" s="53"/>
      <c r="G483" s="9"/>
      <c r="J483" s="17"/>
      <c r="K483" s="17"/>
    </row>
    <row r="484" spans="5:11" x14ac:dyDescent="0.2">
      <c r="E484" s="10"/>
      <c r="F484" s="53"/>
      <c r="G484" s="9"/>
      <c r="J484" s="17"/>
      <c r="K484" s="17"/>
    </row>
    <row r="485" spans="5:11" x14ac:dyDescent="0.2">
      <c r="E485" s="10"/>
      <c r="F485" s="53"/>
      <c r="G485" s="9"/>
      <c r="J485" s="17"/>
      <c r="K485" s="17"/>
    </row>
    <row r="486" spans="5:11" x14ac:dyDescent="0.2">
      <c r="E486" s="10"/>
      <c r="F486" s="53"/>
      <c r="G486" s="9"/>
      <c r="J486" s="17"/>
      <c r="K486" s="17"/>
    </row>
    <row r="487" spans="5:11" x14ac:dyDescent="0.2">
      <c r="E487" s="10"/>
      <c r="F487" s="53"/>
      <c r="G487" s="9"/>
      <c r="J487" s="17"/>
      <c r="K487" s="17"/>
    </row>
    <row r="488" spans="5:11" x14ac:dyDescent="0.2">
      <c r="E488" s="10"/>
      <c r="F488" s="53"/>
      <c r="G488" s="9"/>
      <c r="J488" s="17"/>
      <c r="K488" s="17"/>
    </row>
    <row r="489" spans="5:11" x14ac:dyDescent="0.2">
      <c r="E489" s="10"/>
      <c r="F489" s="53"/>
      <c r="G489" s="9"/>
      <c r="J489" s="17"/>
      <c r="K489" s="17"/>
    </row>
    <row r="490" spans="5:11" x14ac:dyDescent="0.2">
      <c r="E490" s="10"/>
      <c r="F490" s="53"/>
      <c r="G490" s="9"/>
      <c r="J490" s="17"/>
      <c r="K490" s="17"/>
    </row>
    <row r="491" spans="5:11" x14ac:dyDescent="0.2">
      <c r="E491" s="10"/>
      <c r="F491" s="53"/>
      <c r="G491" s="9"/>
      <c r="J491" s="17"/>
      <c r="K491" s="17"/>
    </row>
    <row r="492" spans="5:11" x14ac:dyDescent="0.2">
      <c r="E492" s="10"/>
      <c r="F492" s="53"/>
      <c r="G492" s="9"/>
      <c r="J492" s="17"/>
      <c r="K492" s="17"/>
    </row>
    <row r="493" spans="5:11" x14ac:dyDescent="0.2">
      <c r="E493" s="10"/>
      <c r="F493" s="53"/>
      <c r="G493" s="9"/>
      <c r="J493" s="17"/>
      <c r="K493" s="17"/>
    </row>
    <row r="494" spans="5:11" x14ac:dyDescent="0.2">
      <c r="E494" s="10"/>
      <c r="F494" s="53"/>
      <c r="G494" s="9"/>
      <c r="J494" s="17"/>
      <c r="K494" s="17"/>
    </row>
    <row r="495" spans="5:11" x14ac:dyDescent="0.2">
      <c r="E495" s="10"/>
      <c r="F495" s="53"/>
      <c r="G495" s="9"/>
      <c r="J495" s="17"/>
      <c r="K495" s="17"/>
    </row>
    <row r="496" spans="5:11" x14ac:dyDescent="0.2">
      <c r="E496" s="10"/>
      <c r="F496" s="53"/>
      <c r="G496" s="9"/>
      <c r="J496" s="17"/>
      <c r="K496" s="17"/>
    </row>
    <row r="497" spans="5:11" x14ac:dyDescent="0.2">
      <c r="E497" s="10"/>
      <c r="F497" s="53"/>
      <c r="G497" s="9"/>
      <c r="J497" s="17"/>
      <c r="K497" s="17"/>
    </row>
    <row r="498" spans="5:11" x14ac:dyDescent="0.2">
      <c r="E498" s="10"/>
      <c r="F498" s="53"/>
      <c r="G498" s="9"/>
      <c r="J498" s="17"/>
      <c r="K498" s="17"/>
    </row>
    <row r="499" spans="5:11" x14ac:dyDescent="0.2">
      <c r="E499" s="10"/>
      <c r="F499" s="53"/>
      <c r="G499" s="9"/>
      <c r="J499" s="17"/>
      <c r="K499" s="17"/>
    </row>
    <row r="500" spans="5:11" x14ac:dyDescent="0.2">
      <c r="E500" s="10"/>
      <c r="F500" s="53"/>
      <c r="G500" s="9"/>
      <c r="J500" s="17"/>
      <c r="K500" s="17"/>
    </row>
    <row r="501" spans="5:11" x14ac:dyDescent="0.2">
      <c r="E501" s="10"/>
      <c r="F501" s="53"/>
      <c r="G501" s="9"/>
      <c r="J501" s="17"/>
      <c r="K501" s="17"/>
    </row>
    <row r="502" spans="5:11" x14ac:dyDescent="0.2">
      <c r="E502" s="10"/>
      <c r="F502" s="53"/>
      <c r="G502" s="9"/>
      <c r="J502" s="17"/>
      <c r="K502" s="17"/>
    </row>
    <row r="503" spans="5:11" x14ac:dyDescent="0.2">
      <c r="E503" s="10"/>
      <c r="F503" s="53"/>
      <c r="G503" s="9"/>
      <c r="J503" s="17"/>
      <c r="K503" s="17"/>
    </row>
    <row r="504" spans="5:11" x14ac:dyDescent="0.2">
      <c r="E504" s="10"/>
      <c r="F504" s="53"/>
      <c r="G504" s="9"/>
      <c r="J504" s="17"/>
      <c r="K504" s="17"/>
    </row>
    <row r="505" spans="5:11" x14ac:dyDescent="0.2">
      <c r="E505" s="10"/>
      <c r="F505" s="53"/>
      <c r="G505" s="9"/>
      <c r="J505" s="17"/>
      <c r="K505" s="17"/>
    </row>
    <row r="506" spans="5:11" x14ac:dyDescent="0.2">
      <c r="E506" s="10"/>
      <c r="F506" s="53"/>
      <c r="G506" s="9"/>
      <c r="J506" s="17"/>
      <c r="K506" s="17"/>
    </row>
    <row r="507" spans="5:11" x14ac:dyDescent="0.2">
      <c r="E507" s="10"/>
      <c r="F507" s="53"/>
      <c r="G507" s="9"/>
      <c r="J507" s="17"/>
      <c r="K507" s="17"/>
    </row>
    <row r="508" spans="5:11" x14ac:dyDescent="0.2">
      <c r="E508" s="10"/>
      <c r="F508" s="53"/>
      <c r="G508" s="9"/>
      <c r="J508" s="17"/>
      <c r="K508" s="17"/>
    </row>
    <row r="509" spans="5:11" x14ac:dyDescent="0.2">
      <c r="E509" s="10"/>
      <c r="F509" s="53"/>
      <c r="G509" s="9"/>
      <c r="J509" s="17"/>
      <c r="K509" s="17"/>
    </row>
    <row r="510" spans="5:11" x14ac:dyDescent="0.2">
      <c r="E510" s="10"/>
      <c r="F510" s="53"/>
      <c r="G510" s="9"/>
      <c r="J510" s="17"/>
      <c r="K510" s="17"/>
    </row>
    <row r="511" spans="5:11" x14ac:dyDescent="0.2">
      <c r="E511" s="10"/>
      <c r="F511" s="53"/>
      <c r="G511" s="9"/>
      <c r="J511" s="17"/>
      <c r="K511" s="17"/>
    </row>
    <row r="512" spans="5:11" x14ac:dyDescent="0.2">
      <c r="E512" s="10"/>
      <c r="F512" s="53"/>
      <c r="G512" s="9"/>
      <c r="J512" s="17"/>
      <c r="K512" s="17"/>
    </row>
    <row r="513" spans="5:11" x14ac:dyDescent="0.2">
      <c r="E513" s="10"/>
      <c r="F513" s="53"/>
      <c r="G513" s="9"/>
      <c r="J513" s="17"/>
      <c r="K513" s="17"/>
    </row>
    <row r="514" spans="5:11" x14ac:dyDescent="0.2">
      <c r="E514" s="10"/>
      <c r="F514" s="53"/>
      <c r="G514" s="9"/>
      <c r="J514" s="17"/>
      <c r="K514" s="17"/>
    </row>
    <row r="515" spans="5:11" x14ac:dyDescent="0.2">
      <c r="E515" s="10"/>
      <c r="F515" s="53"/>
      <c r="G515" s="9"/>
      <c r="J515" s="17"/>
      <c r="K515" s="17"/>
    </row>
    <row r="516" spans="5:11" x14ac:dyDescent="0.2">
      <c r="E516" s="10"/>
      <c r="F516" s="53"/>
      <c r="G516" s="9"/>
      <c r="J516" s="17"/>
      <c r="K516" s="17"/>
    </row>
    <row r="517" spans="5:11" x14ac:dyDescent="0.2">
      <c r="E517" s="10"/>
      <c r="F517" s="53"/>
      <c r="G517" s="9"/>
      <c r="J517" s="17"/>
      <c r="K517" s="17"/>
    </row>
    <row r="518" spans="5:11" x14ac:dyDescent="0.2">
      <c r="E518" s="10"/>
      <c r="F518" s="53"/>
      <c r="G518" s="9"/>
      <c r="J518" s="17"/>
      <c r="K518" s="17"/>
    </row>
    <row r="519" spans="5:11" x14ac:dyDescent="0.2">
      <c r="E519" s="10"/>
      <c r="F519" s="53"/>
      <c r="G519" s="9"/>
      <c r="J519" s="17"/>
      <c r="K519" s="17"/>
    </row>
    <row r="520" spans="5:11" x14ac:dyDescent="0.2">
      <c r="E520" s="10"/>
      <c r="F520" s="53"/>
      <c r="G520" s="9"/>
      <c r="J520" s="17"/>
      <c r="K520" s="17"/>
    </row>
    <row r="521" spans="5:11" x14ac:dyDescent="0.2">
      <c r="E521" s="10"/>
      <c r="F521" s="53"/>
      <c r="G521" s="9"/>
      <c r="J521" s="17"/>
      <c r="K521" s="17"/>
    </row>
    <row r="522" spans="5:11" x14ac:dyDescent="0.2">
      <c r="E522" s="10"/>
      <c r="F522" s="53"/>
      <c r="G522" s="9"/>
      <c r="J522" s="17"/>
      <c r="K522" s="17"/>
    </row>
    <row r="523" spans="5:11" x14ac:dyDescent="0.2">
      <c r="E523" s="10"/>
      <c r="F523" s="53"/>
      <c r="G523" s="9"/>
      <c r="J523" s="17"/>
      <c r="K523" s="17"/>
    </row>
    <row r="524" spans="5:11" x14ac:dyDescent="0.2">
      <c r="E524" s="10"/>
      <c r="F524" s="53"/>
      <c r="G524" s="9"/>
      <c r="J524" s="17"/>
      <c r="K524" s="17"/>
    </row>
    <row r="525" spans="5:11" x14ac:dyDescent="0.2">
      <c r="E525" s="10"/>
      <c r="F525" s="53"/>
      <c r="G525" s="9"/>
      <c r="J525" s="17"/>
      <c r="K525" s="17"/>
    </row>
    <row r="526" spans="5:11" x14ac:dyDescent="0.2">
      <c r="E526" s="10"/>
      <c r="F526" s="53"/>
      <c r="G526" s="9"/>
      <c r="J526" s="17"/>
      <c r="K526" s="17"/>
    </row>
    <row r="527" spans="5:11" x14ac:dyDescent="0.2">
      <c r="E527" s="10"/>
      <c r="F527" s="53"/>
      <c r="G527" s="9"/>
      <c r="J527" s="17"/>
      <c r="K527" s="17"/>
    </row>
    <row r="528" spans="5:11" x14ac:dyDescent="0.2">
      <c r="E528" s="10"/>
      <c r="F528" s="53"/>
      <c r="G528" s="9"/>
      <c r="J528" s="17"/>
      <c r="K528" s="17"/>
    </row>
    <row r="529" spans="5:11" x14ac:dyDescent="0.2">
      <c r="E529" s="10"/>
      <c r="F529" s="53"/>
      <c r="G529" s="9"/>
      <c r="J529" s="17"/>
      <c r="K529" s="17"/>
    </row>
    <row r="530" spans="5:11" x14ac:dyDescent="0.2">
      <c r="E530" s="10"/>
      <c r="F530" s="53"/>
      <c r="G530" s="9"/>
      <c r="J530" s="17"/>
      <c r="K530" s="17"/>
    </row>
    <row r="531" spans="5:11" x14ac:dyDescent="0.2">
      <c r="E531" s="10"/>
      <c r="F531" s="53"/>
      <c r="G531" s="9"/>
      <c r="J531" s="17"/>
      <c r="K531" s="17"/>
    </row>
    <row r="532" spans="5:11" x14ac:dyDescent="0.2">
      <c r="E532" s="10"/>
      <c r="F532" s="53"/>
      <c r="G532" s="9"/>
      <c r="J532" s="17"/>
      <c r="K532" s="17"/>
    </row>
    <row r="533" spans="5:11" x14ac:dyDescent="0.2">
      <c r="E533" s="10"/>
      <c r="F533" s="53"/>
      <c r="G533" s="9"/>
      <c r="J533" s="17"/>
      <c r="K533" s="17"/>
    </row>
    <row r="534" spans="5:11" x14ac:dyDescent="0.2">
      <c r="E534" s="10"/>
      <c r="F534" s="53"/>
      <c r="G534" s="9"/>
      <c r="J534" s="17"/>
      <c r="K534" s="17"/>
    </row>
    <row r="535" spans="5:11" x14ac:dyDescent="0.2">
      <c r="E535" s="10"/>
      <c r="F535" s="53"/>
      <c r="G535" s="9"/>
      <c r="J535" s="17"/>
      <c r="K535" s="17"/>
    </row>
    <row r="536" spans="5:11" x14ac:dyDescent="0.2">
      <c r="E536" s="10"/>
      <c r="F536" s="53"/>
      <c r="G536" s="9"/>
      <c r="J536" s="17"/>
      <c r="K536" s="17"/>
    </row>
    <row r="537" spans="5:11" x14ac:dyDescent="0.2">
      <c r="E537" s="10"/>
      <c r="F537" s="53"/>
      <c r="G537" s="9"/>
      <c r="J537" s="17"/>
      <c r="K537" s="17"/>
    </row>
    <row r="538" spans="5:11" x14ac:dyDescent="0.2">
      <c r="E538" s="10"/>
      <c r="F538" s="53"/>
      <c r="G538" s="9"/>
      <c r="J538" s="17"/>
      <c r="K538" s="17"/>
    </row>
    <row r="539" spans="5:11" x14ac:dyDescent="0.2">
      <c r="E539" s="10"/>
      <c r="F539" s="53"/>
      <c r="G539" s="9"/>
      <c r="J539" s="17"/>
      <c r="K539" s="17"/>
    </row>
    <row r="540" spans="5:11" x14ac:dyDescent="0.2">
      <c r="E540" s="10"/>
      <c r="F540" s="53"/>
      <c r="G540" s="9"/>
      <c r="J540" s="17"/>
      <c r="K540" s="17"/>
    </row>
    <row r="541" spans="5:11" x14ac:dyDescent="0.2">
      <c r="E541" s="10"/>
      <c r="F541" s="53"/>
      <c r="G541" s="9"/>
      <c r="J541" s="17"/>
      <c r="K541" s="17"/>
    </row>
    <row r="542" spans="5:11" x14ac:dyDescent="0.2">
      <c r="E542" s="10"/>
      <c r="F542" s="53"/>
      <c r="G542" s="9"/>
      <c r="J542" s="17"/>
      <c r="K542" s="17"/>
    </row>
    <row r="543" spans="5:11" x14ac:dyDescent="0.2">
      <c r="E543" s="10"/>
      <c r="F543" s="53"/>
      <c r="G543" s="9"/>
      <c r="J543" s="17"/>
      <c r="K543" s="17"/>
    </row>
    <row r="544" spans="5:11" x14ac:dyDescent="0.2">
      <c r="E544" s="10"/>
      <c r="F544" s="53"/>
      <c r="G544" s="9"/>
      <c r="J544" s="17"/>
      <c r="K544" s="17"/>
    </row>
    <row r="545" spans="5:11" x14ac:dyDescent="0.2">
      <c r="E545" s="10"/>
      <c r="F545" s="53"/>
      <c r="G545" s="9"/>
      <c r="J545" s="17"/>
      <c r="K545" s="17"/>
    </row>
    <row r="546" spans="5:11" x14ac:dyDescent="0.2">
      <c r="E546" s="10"/>
      <c r="F546" s="53"/>
      <c r="G546" s="9"/>
      <c r="J546" s="17"/>
      <c r="K546" s="17"/>
    </row>
    <row r="547" spans="5:11" x14ac:dyDescent="0.2">
      <c r="E547" s="10"/>
      <c r="F547" s="53"/>
      <c r="G547" s="9"/>
      <c r="J547" s="17"/>
      <c r="K547" s="17"/>
    </row>
    <row r="548" spans="5:11" x14ac:dyDescent="0.2">
      <c r="E548" s="10"/>
      <c r="F548" s="53"/>
      <c r="G548" s="9"/>
      <c r="J548" s="17"/>
      <c r="K548" s="17"/>
    </row>
    <row r="549" spans="5:11" x14ac:dyDescent="0.2">
      <c r="E549" s="10"/>
      <c r="F549" s="53"/>
      <c r="G549" s="9"/>
      <c r="J549" s="17"/>
      <c r="K549" s="17"/>
    </row>
    <row r="550" spans="5:11" x14ac:dyDescent="0.2">
      <c r="E550" s="10"/>
      <c r="F550" s="53"/>
      <c r="G550" s="9"/>
      <c r="J550" s="17"/>
      <c r="K550" s="17"/>
    </row>
    <row r="551" spans="5:11" x14ac:dyDescent="0.2">
      <c r="E551" s="10"/>
      <c r="F551" s="53"/>
      <c r="G551" s="9"/>
      <c r="J551" s="17"/>
      <c r="K551" s="17"/>
    </row>
    <row r="552" spans="5:11" x14ac:dyDescent="0.2">
      <c r="E552" s="10"/>
      <c r="F552" s="53"/>
      <c r="G552" s="9"/>
      <c r="J552" s="17"/>
      <c r="K552" s="17"/>
    </row>
    <row r="553" spans="5:11" x14ac:dyDescent="0.2">
      <c r="E553" s="10"/>
      <c r="F553" s="53"/>
      <c r="G553" s="9"/>
      <c r="J553" s="17"/>
      <c r="K553" s="17"/>
    </row>
    <row r="554" spans="5:11" x14ac:dyDescent="0.2">
      <c r="E554" s="10"/>
      <c r="F554" s="53"/>
      <c r="G554" s="9"/>
      <c r="J554" s="17"/>
      <c r="K554" s="17"/>
    </row>
    <row r="555" spans="5:11" x14ac:dyDescent="0.2">
      <c r="E555" s="10"/>
      <c r="F555" s="53"/>
      <c r="G555" s="9"/>
      <c r="J555" s="17"/>
      <c r="K555" s="17"/>
    </row>
    <row r="556" spans="5:11" x14ac:dyDescent="0.2">
      <c r="E556" s="10"/>
      <c r="F556" s="53"/>
      <c r="G556" s="9"/>
      <c r="J556" s="17"/>
      <c r="K556" s="17"/>
    </row>
    <row r="557" spans="5:11" x14ac:dyDescent="0.2">
      <c r="E557" s="10"/>
      <c r="F557" s="53"/>
      <c r="G557" s="9"/>
      <c r="J557" s="17"/>
      <c r="K557" s="17"/>
    </row>
    <row r="558" spans="5:11" x14ac:dyDescent="0.2">
      <c r="E558" s="10"/>
      <c r="F558" s="53"/>
      <c r="G558" s="9"/>
      <c r="J558" s="17"/>
      <c r="K558" s="17"/>
    </row>
    <row r="559" spans="5:11" x14ac:dyDescent="0.2">
      <c r="E559" s="10"/>
      <c r="F559" s="53"/>
      <c r="G559" s="9"/>
      <c r="J559" s="17"/>
      <c r="K559" s="17"/>
    </row>
    <row r="560" spans="5:11" x14ac:dyDescent="0.2">
      <c r="E560" s="10"/>
      <c r="F560" s="53"/>
      <c r="G560" s="9"/>
      <c r="J560" s="17"/>
      <c r="K560" s="17"/>
    </row>
    <row r="561" spans="5:11" x14ac:dyDescent="0.2">
      <c r="E561" s="10"/>
      <c r="F561" s="53"/>
      <c r="G561" s="9"/>
      <c r="J561" s="17"/>
      <c r="K561" s="17"/>
    </row>
    <row r="562" spans="5:11" x14ac:dyDescent="0.2">
      <c r="E562" s="10"/>
      <c r="F562" s="53"/>
      <c r="G562" s="9"/>
      <c r="J562" s="17"/>
      <c r="K562" s="17"/>
    </row>
    <row r="563" spans="5:11" x14ac:dyDescent="0.2">
      <c r="E563" s="10"/>
      <c r="F563" s="53"/>
      <c r="G563" s="9"/>
      <c r="J563" s="17"/>
      <c r="K563" s="17"/>
    </row>
    <row r="564" spans="5:11" x14ac:dyDescent="0.2">
      <c r="E564" s="10"/>
      <c r="F564" s="53"/>
      <c r="G564" s="9"/>
      <c r="J564" s="17"/>
      <c r="K564" s="17"/>
    </row>
    <row r="565" spans="5:11" x14ac:dyDescent="0.2">
      <c r="E565" s="10"/>
      <c r="F565" s="53"/>
      <c r="G565" s="9"/>
      <c r="J565" s="17"/>
      <c r="K565" s="17"/>
    </row>
    <row r="566" spans="5:11" x14ac:dyDescent="0.2">
      <c r="E566" s="10"/>
      <c r="F566" s="53"/>
      <c r="G566" s="9"/>
      <c r="J566" s="17"/>
      <c r="K566" s="17"/>
    </row>
    <row r="567" spans="5:11" x14ac:dyDescent="0.2">
      <c r="E567" s="10"/>
      <c r="F567" s="53"/>
      <c r="G567" s="9"/>
      <c r="J567" s="17"/>
      <c r="K567" s="17"/>
    </row>
    <row r="568" spans="5:11" x14ac:dyDescent="0.2">
      <c r="E568" s="10"/>
      <c r="F568" s="53"/>
      <c r="G568" s="9"/>
      <c r="J568" s="17"/>
      <c r="K568" s="17"/>
    </row>
    <row r="569" spans="5:11" x14ac:dyDescent="0.2">
      <c r="E569" s="10"/>
      <c r="F569" s="53"/>
      <c r="G569" s="9"/>
      <c r="J569" s="17"/>
      <c r="K569" s="17"/>
    </row>
    <row r="570" spans="5:11" x14ac:dyDescent="0.2">
      <c r="E570" s="10"/>
      <c r="F570" s="53"/>
      <c r="G570" s="9"/>
      <c r="J570" s="17"/>
      <c r="K570" s="17"/>
    </row>
    <row r="571" spans="5:11" x14ac:dyDescent="0.2">
      <c r="E571" s="10"/>
      <c r="F571" s="53"/>
      <c r="G571" s="9"/>
      <c r="J571" s="17"/>
      <c r="K571" s="17"/>
    </row>
    <row r="572" spans="5:11" x14ac:dyDescent="0.2">
      <c r="E572" s="10"/>
      <c r="F572" s="53"/>
      <c r="G572" s="9"/>
      <c r="J572" s="17"/>
      <c r="K572" s="17"/>
    </row>
    <row r="573" spans="5:11" x14ac:dyDescent="0.2">
      <c r="E573" s="10"/>
      <c r="F573" s="53"/>
      <c r="G573" s="9"/>
      <c r="J573" s="17"/>
      <c r="K573" s="17"/>
    </row>
    <row r="574" spans="5:11" x14ac:dyDescent="0.2">
      <c r="E574" s="10"/>
      <c r="F574" s="53"/>
      <c r="G574" s="9"/>
      <c r="J574" s="17"/>
      <c r="K574" s="17"/>
    </row>
    <row r="575" spans="5:11" x14ac:dyDescent="0.2">
      <c r="E575" s="10"/>
      <c r="F575" s="53"/>
      <c r="G575" s="9"/>
      <c r="J575" s="17"/>
      <c r="K575" s="17"/>
    </row>
    <row r="576" spans="5:11" x14ac:dyDescent="0.2">
      <c r="E576" s="10"/>
      <c r="F576" s="53"/>
      <c r="G576" s="9"/>
      <c r="J576" s="17"/>
      <c r="K576" s="17"/>
    </row>
    <row r="577" spans="5:11" x14ac:dyDescent="0.2">
      <c r="E577" s="10"/>
      <c r="F577" s="53"/>
      <c r="G577" s="9"/>
      <c r="J577" s="17"/>
      <c r="K577" s="17"/>
    </row>
    <row r="578" spans="5:11" x14ac:dyDescent="0.2">
      <c r="E578" s="10"/>
      <c r="F578" s="53"/>
      <c r="G578" s="9"/>
      <c r="J578" s="17"/>
      <c r="K578" s="17"/>
    </row>
    <row r="579" spans="5:11" x14ac:dyDescent="0.2">
      <c r="E579" s="10"/>
      <c r="F579" s="53"/>
      <c r="G579" s="9"/>
      <c r="J579" s="17"/>
      <c r="K579" s="17"/>
    </row>
    <row r="580" spans="5:11" x14ac:dyDescent="0.2">
      <c r="E580" s="10"/>
      <c r="F580" s="53"/>
      <c r="G580" s="9"/>
      <c r="J580" s="17"/>
      <c r="K580" s="17"/>
    </row>
    <row r="581" spans="5:11" x14ac:dyDescent="0.2">
      <c r="E581" s="10"/>
      <c r="F581" s="53"/>
      <c r="G581" s="9"/>
      <c r="J581" s="17"/>
      <c r="K581" s="17"/>
    </row>
    <row r="582" spans="5:11" x14ac:dyDescent="0.2">
      <c r="E582" s="10"/>
      <c r="F582" s="53"/>
      <c r="G582" s="9"/>
      <c r="J582" s="17"/>
      <c r="K582" s="17"/>
    </row>
    <row r="583" spans="5:11" x14ac:dyDescent="0.2">
      <c r="E583" s="10"/>
      <c r="F583" s="53"/>
      <c r="G583" s="9"/>
      <c r="J583" s="17"/>
      <c r="K583" s="17"/>
    </row>
    <row r="584" spans="5:11" x14ac:dyDescent="0.2">
      <c r="E584" s="10"/>
      <c r="F584" s="53"/>
      <c r="G584" s="9"/>
      <c r="J584" s="17"/>
      <c r="K584" s="17"/>
    </row>
    <row r="585" spans="5:11" x14ac:dyDescent="0.2">
      <c r="E585" s="10"/>
      <c r="F585" s="53"/>
      <c r="G585" s="9"/>
      <c r="J585" s="17"/>
      <c r="K585" s="17"/>
    </row>
    <row r="586" spans="5:11" x14ac:dyDescent="0.2">
      <c r="E586" s="10"/>
      <c r="F586" s="53"/>
      <c r="G586" s="9"/>
      <c r="J586" s="17"/>
      <c r="K586" s="17"/>
    </row>
    <row r="587" spans="5:11" x14ac:dyDescent="0.2">
      <c r="E587" s="10"/>
      <c r="F587" s="53"/>
      <c r="G587" s="9"/>
      <c r="J587" s="17"/>
      <c r="K587" s="17"/>
    </row>
    <row r="588" spans="5:11" x14ac:dyDescent="0.2">
      <c r="E588" s="10"/>
      <c r="F588" s="53"/>
      <c r="G588" s="9"/>
      <c r="J588" s="17"/>
      <c r="K588" s="17"/>
    </row>
    <row r="589" spans="5:11" x14ac:dyDescent="0.2">
      <c r="E589" s="10"/>
      <c r="F589" s="53"/>
      <c r="G589" s="9"/>
      <c r="J589" s="17"/>
      <c r="K589" s="17"/>
    </row>
    <row r="590" spans="5:11" x14ac:dyDescent="0.2">
      <c r="E590" s="10"/>
      <c r="F590" s="53"/>
      <c r="G590" s="9"/>
      <c r="J590" s="17"/>
      <c r="K590" s="17"/>
    </row>
    <row r="591" spans="5:11" x14ac:dyDescent="0.2">
      <c r="E591" s="10"/>
      <c r="F591" s="53"/>
      <c r="G591" s="9"/>
      <c r="J591" s="17"/>
      <c r="K591" s="17"/>
    </row>
    <row r="592" spans="5:11" x14ac:dyDescent="0.2">
      <c r="E592" s="10"/>
      <c r="F592" s="53"/>
      <c r="G592" s="9"/>
      <c r="J592" s="17"/>
      <c r="K592" s="17"/>
    </row>
    <row r="593" spans="5:11" x14ac:dyDescent="0.2">
      <c r="E593" s="10"/>
      <c r="F593" s="53"/>
      <c r="G593" s="9"/>
      <c r="J593" s="17"/>
      <c r="K593" s="17"/>
    </row>
    <row r="594" spans="5:11" x14ac:dyDescent="0.2">
      <c r="E594" s="10"/>
      <c r="F594" s="53"/>
      <c r="G594" s="9"/>
      <c r="J594" s="17"/>
      <c r="K594" s="17"/>
    </row>
    <row r="595" spans="5:11" x14ac:dyDescent="0.2">
      <c r="E595" s="10"/>
      <c r="F595" s="53"/>
      <c r="G595" s="9"/>
      <c r="J595" s="17"/>
      <c r="K595" s="17"/>
    </row>
    <row r="596" spans="5:11" x14ac:dyDescent="0.2">
      <c r="E596" s="10"/>
      <c r="F596" s="53"/>
      <c r="G596" s="9"/>
      <c r="J596" s="17"/>
      <c r="K596" s="17"/>
    </row>
    <row r="597" spans="5:11" x14ac:dyDescent="0.2">
      <c r="E597" s="10"/>
      <c r="F597" s="53"/>
      <c r="G597" s="9"/>
      <c r="J597" s="17"/>
      <c r="K597" s="17"/>
    </row>
    <row r="598" spans="5:11" x14ac:dyDescent="0.2">
      <c r="E598" s="10"/>
      <c r="F598" s="53"/>
      <c r="G598" s="9"/>
      <c r="J598" s="17"/>
      <c r="K598" s="17"/>
    </row>
    <row r="599" spans="5:11" x14ac:dyDescent="0.2">
      <c r="E599" s="10"/>
      <c r="F599" s="53"/>
      <c r="G599" s="9"/>
      <c r="J599" s="17"/>
      <c r="K599" s="17"/>
    </row>
    <row r="600" spans="5:11" x14ac:dyDescent="0.2">
      <c r="E600" s="10"/>
      <c r="F600" s="53"/>
      <c r="G600" s="9"/>
      <c r="J600" s="17"/>
      <c r="K600" s="17"/>
    </row>
    <row r="601" spans="5:11" x14ac:dyDescent="0.2">
      <c r="E601" s="10"/>
      <c r="F601" s="53"/>
      <c r="G601" s="9"/>
      <c r="J601" s="17"/>
      <c r="K601" s="17"/>
    </row>
    <row r="602" spans="5:11" x14ac:dyDescent="0.2">
      <c r="E602" s="10"/>
      <c r="F602" s="53"/>
      <c r="G602" s="9"/>
      <c r="J602" s="17"/>
      <c r="K602" s="17"/>
    </row>
    <row r="603" spans="5:11" x14ac:dyDescent="0.2">
      <c r="E603" s="10"/>
      <c r="F603" s="53"/>
      <c r="G603" s="9"/>
      <c r="J603" s="17"/>
      <c r="K603" s="17"/>
    </row>
    <row r="604" spans="5:11" x14ac:dyDescent="0.2">
      <c r="E604" s="10"/>
      <c r="F604" s="53"/>
      <c r="G604" s="9"/>
      <c r="J604" s="17"/>
      <c r="K604" s="17"/>
    </row>
    <row r="605" spans="5:11" x14ac:dyDescent="0.2">
      <c r="E605" s="10"/>
      <c r="F605" s="53"/>
      <c r="G605" s="9"/>
      <c r="J605" s="17"/>
      <c r="K605" s="17"/>
    </row>
    <row r="606" spans="5:11" x14ac:dyDescent="0.2">
      <c r="E606" s="10"/>
      <c r="F606" s="53"/>
      <c r="G606" s="9"/>
      <c r="J606" s="17"/>
      <c r="K606" s="17"/>
    </row>
    <row r="607" spans="5:11" x14ac:dyDescent="0.2">
      <c r="E607" s="10"/>
      <c r="F607" s="53"/>
      <c r="G607" s="9"/>
      <c r="J607" s="17"/>
      <c r="K607" s="17"/>
    </row>
    <row r="608" spans="5:11" x14ac:dyDescent="0.2">
      <c r="E608" s="10"/>
      <c r="F608" s="53"/>
      <c r="G608" s="9"/>
      <c r="J608" s="17"/>
      <c r="K608" s="17"/>
    </row>
    <row r="609" spans="5:11" x14ac:dyDescent="0.2">
      <c r="E609" s="10"/>
      <c r="F609" s="53"/>
      <c r="G609" s="9"/>
      <c r="J609" s="17"/>
      <c r="K609" s="17"/>
    </row>
    <row r="610" spans="5:11" x14ac:dyDescent="0.2">
      <c r="E610" s="10"/>
      <c r="F610" s="53"/>
      <c r="G610" s="9"/>
      <c r="J610" s="17"/>
      <c r="K610" s="17"/>
    </row>
    <row r="611" spans="5:11" x14ac:dyDescent="0.2">
      <c r="E611" s="10"/>
      <c r="F611" s="53"/>
      <c r="G611" s="9"/>
      <c r="J611" s="17"/>
      <c r="K611" s="17"/>
    </row>
    <row r="612" spans="5:11" x14ac:dyDescent="0.2">
      <c r="E612" s="10"/>
      <c r="F612" s="53"/>
      <c r="G612" s="9"/>
      <c r="J612" s="17"/>
      <c r="K612" s="17"/>
    </row>
    <row r="613" spans="5:11" x14ac:dyDescent="0.2">
      <c r="E613" s="10"/>
      <c r="F613" s="53"/>
      <c r="G613" s="9"/>
      <c r="J613" s="17"/>
      <c r="K613" s="17"/>
    </row>
    <row r="614" spans="5:11" x14ac:dyDescent="0.2">
      <c r="E614" s="10"/>
      <c r="F614" s="53"/>
      <c r="G614" s="9"/>
      <c r="J614" s="17"/>
      <c r="K614" s="17"/>
    </row>
    <row r="615" spans="5:11" x14ac:dyDescent="0.2">
      <c r="E615" s="10"/>
      <c r="F615" s="53"/>
      <c r="G615" s="9"/>
      <c r="J615" s="17"/>
      <c r="K615" s="17"/>
    </row>
    <row r="616" spans="5:11" x14ac:dyDescent="0.2">
      <c r="E616" s="10"/>
      <c r="F616" s="53"/>
      <c r="G616" s="9"/>
      <c r="J616" s="17"/>
      <c r="K616" s="17"/>
    </row>
    <row r="617" spans="5:11" x14ac:dyDescent="0.2">
      <c r="E617" s="10"/>
      <c r="F617" s="53"/>
      <c r="G617" s="9"/>
      <c r="J617" s="17"/>
      <c r="K617" s="17"/>
    </row>
    <row r="618" spans="5:11" x14ac:dyDescent="0.2">
      <c r="E618" s="10"/>
      <c r="F618" s="53"/>
      <c r="G618" s="9"/>
      <c r="J618" s="17"/>
      <c r="K618" s="17"/>
    </row>
    <row r="619" spans="5:11" x14ac:dyDescent="0.2">
      <c r="E619" s="10"/>
      <c r="F619" s="53"/>
      <c r="G619" s="9"/>
      <c r="J619" s="17"/>
      <c r="K619" s="17"/>
    </row>
    <row r="620" spans="5:11" x14ac:dyDescent="0.2">
      <c r="E620" s="10"/>
      <c r="F620" s="53"/>
      <c r="G620" s="9"/>
      <c r="J620" s="17"/>
      <c r="K620" s="17"/>
    </row>
    <row r="621" spans="5:11" x14ac:dyDescent="0.2">
      <c r="E621" s="10"/>
      <c r="F621" s="53"/>
      <c r="G621" s="9"/>
      <c r="J621" s="17"/>
      <c r="K621" s="17"/>
    </row>
    <row r="622" spans="5:11" x14ac:dyDescent="0.2">
      <c r="E622" s="10"/>
      <c r="F622" s="53"/>
      <c r="G622" s="9"/>
      <c r="J622" s="17"/>
      <c r="K622" s="17"/>
    </row>
    <row r="623" spans="5:11" x14ac:dyDescent="0.2">
      <c r="E623" s="10"/>
      <c r="F623" s="53"/>
      <c r="G623" s="9"/>
      <c r="J623" s="17"/>
      <c r="K623" s="17"/>
    </row>
    <row r="624" spans="5:11" x14ac:dyDescent="0.2">
      <c r="E624" s="10"/>
      <c r="F624" s="53"/>
      <c r="G624" s="9"/>
      <c r="J624" s="17"/>
      <c r="K624" s="17"/>
    </row>
    <row r="625" spans="5:11" x14ac:dyDescent="0.2">
      <c r="E625" s="10"/>
      <c r="F625" s="53"/>
      <c r="G625" s="9"/>
      <c r="J625" s="17"/>
      <c r="K625" s="17"/>
    </row>
    <row r="626" spans="5:11" x14ac:dyDescent="0.2">
      <c r="E626" s="10"/>
      <c r="F626" s="53"/>
      <c r="G626" s="9"/>
      <c r="J626" s="17"/>
      <c r="K626" s="17"/>
    </row>
    <row r="627" spans="5:11" x14ac:dyDescent="0.2">
      <c r="E627" s="10"/>
      <c r="F627" s="53"/>
      <c r="G627" s="9"/>
      <c r="J627" s="17"/>
      <c r="K627" s="17"/>
    </row>
    <row r="628" spans="5:11" x14ac:dyDescent="0.2">
      <c r="E628" s="10"/>
      <c r="F628" s="53"/>
      <c r="G628" s="9"/>
      <c r="J628" s="17"/>
      <c r="K628" s="17"/>
    </row>
    <row r="629" spans="5:11" x14ac:dyDescent="0.2">
      <c r="E629" s="10"/>
      <c r="F629" s="53"/>
      <c r="G629" s="9"/>
      <c r="J629" s="17"/>
      <c r="K629" s="17"/>
    </row>
    <row r="630" spans="5:11" x14ac:dyDescent="0.2">
      <c r="E630" s="10"/>
      <c r="F630" s="53"/>
      <c r="G630" s="9"/>
      <c r="J630" s="17"/>
      <c r="K630" s="17"/>
    </row>
    <row r="631" spans="5:11" x14ac:dyDescent="0.2">
      <c r="E631" s="10"/>
      <c r="F631" s="53"/>
      <c r="G631" s="9"/>
      <c r="J631" s="17"/>
      <c r="K631" s="17"/>
    </row>
    <row r="632" spans="5:11" x14ac:dyDescent="0.2">
      <c r="E632" s="10"/>
      <c r="F632" s="53"/>
      <c r="G632" s="9"/>
      <c r="J632" s="17"/>
      <c r="K632" s="17"/>
    </row>
    <row r="633" spans="5:11" x14ac:dyDescent="0.2">
      <c r="E633" s="10"/>
      <c r="F633" s="53"/>
      <c r="G633" s="9"/>
      <c r="J633" s="17"/>
      <c r="K633" s="17"/>
    </row>
    <row r="634" spans="5:11" x14ac:dyDescent="0.2">
      <c r="E634" s="10"/>
      <c r="F634" s="53"/>
      <c r="G634" s="9"/>
      <c r="J634" s="17"/>
      <c r="K634" s="17"/>
    </row>
    <row r="635" spans="5:11" x14ac:dyDescent="0.2">
      <c r="E635" s="10"/>
      <c r="F635" s="53"/>
      <c r="G635" s="9"/>
      <c r="J635" s="17"/>
      <c r="K635" s="17"/>
    </row>
    <row r="636" spans="5:11" x14ac:dyDescent="0.2">
      <c r="E636" s="10"/>
      <c r="F636" s="53"/>
      <c r="G636" s="9"/>
      <c r="J636" s="17"/>
      <c r="K636" s="17"/>
    </row>
    <row r="637" spans="5:11" x14ac:dyDescent="0.2">
      <c r="E637" s="10"/>
      <c r="F637" s="53"/>
      <c r="G637" s="9"/>
      <c r="J637" s="17"/>
      <c r="K637" s="17"/>
    </row>
    <row r="638" spans="5:11" x14ac:dyDescent="0.2">
      <c r="E638" s="10"/>
      <c r="F638" s="53"/>
      <c r="G638" s="9"/>
      <c r="J638" s="17"/>
      <c r="K638" s="17"/>
    </row>
    <row r="639" spans="5:11" x14ac:dyDescent="0.2">
      <c r="E639" s="10"/>
      <c r="F639" s="53"/>
      <c r="G639" s="9"/>
      <c r="J639" s="17"/>
      <c r="K639" s="17"/>
    </row>
    <row r="640" spans="5:11" x14ac:dyDescent="0.2">
      <c r="E640" s="10"/>
      <c r="F640" s="53"/>
      <c r="G640" s="9"/>
      <c r="J640" s="17"/>
      <c r="K640" s="17"/>
    </row>
    <row r="641" spans="5:11" x14ac:dyDescent="0.2">
      <c r="E641" s="10"/>
      <c r="F641" s="53"/>
      <c r="G641" s="9"/>
      <c r="J641" s="17"/>
      <c r="K641" s="17"/>
    </row>
    <row r="642" spans="5:11" x14ac:dyDescent="0.2">
      <c r="E642" s="10"/>
      <c r="F642" s="53"/>
      <c r="G642" s="9"/>
      <c r="J642" s="17"/>
      <c r="K642" s="17"/>
    </row>
    <row r="643" spans="5:11" x14ac:dyDescent="0.2">
      <c r="E643" s="10"/>
      <c r="F643" s="53"/>
      <c r="G643" s="9"/>
      <c r="J643" s="17"/>
      <c r="K643" s="17"/>
    </row>
    <row r="644" spans="5:11" x14ac:dyDescent="0.2">
      <c r="E644" s="10"/>
      <c r="F644" s="53"/>
      <c r="G644" s="9"/>
      <c r="J644" s="17"/>
      <c r="K644" s="17"/>
    </row>
    <row r="645" spans="5:11" x14ac:dyDescent="0.2">
      <c r="E645" s="10"/>
      <c r="F645" s="53"/>
      <c r="G645" s="9"/>
      <c r="J645" s="17"/>
      <c r="K645" s="17"/>
    </row>
    <row r="646" spans="5:11" x14ac:dyDescent="0.2">
      <c r="E646" s="10"/>
      <c r="F646" s="53"/>
      <c r="G646" s="9"/>
      <c r="J646" s="17"/>
      <c r="K646" s="17"/>
    </row>
    <row r="647" spans="5:11" x14ac:dyDescent="0.2">
      <c r="E647" s="10"/>
      <c r="F647" s="53"/>
      <c r="G647" s="9"/>
      <c r="J647" s="17"/>
      <c r="K647" s="17"/>
    </row>
    <row r="648" spans="5:11" x14ac:dyDescent="0.2">
      <c r="E648" s="10"/>
      <c r="F648" s="53"/>
      <c r="G648" s="9"/>
      <c r="J648" s="17"/>
      <c r="K648" s="17"/>
    </row>
    <row r="649" spans="5:11" x14ac:dyDescent="0.2">
      <c r="E649" s="10"/>
      <c r="F649" s="53"/>
      <c r="G649" s="9"/>
      <c r="J649" s="17"/>
      <c r="K649" s="17"/>
    </row>
    <row r="650" spans="5:11" x14ac:dyDescent="0.2">
      <c r="E650" s="10"/>
      <c r="F650" s="53"/>
      <c r="G650" s="9"/>
      <c r="J650" s="17"/>
      <c r="K650" s="17"/>
    </row>
    <row r="651" spans="5:11" x14ac:dyDescent="0.2">
      <c r="E651" s="10"/>
      <c r="F651" s="53"/>
      <c r="G651" s="9"/>
      <c r="J651" s="17"/>
      <c r="K651" s="17"/>
    </row>
    <row r="652" spans="5:11" x14ac:dyDescent="0.2">
      <c r="E652" s="10"/>
      <c r="F652" s="53"/>
      <c r="G652" s="9"/>
      <c r="J652" s="17"/>
      <c r="K652" s="17"/>
    </row>
    <row r="653" spans="5:11" x14ac:dyDescent="0.2">
      <c r="E653" s="10"/>
      <c r="F653" s="53"/>
      <c r="G653" s="9"/>
      <c r="J653" s="17"/>
      <c r="K653" s="17"/>
    </row>
    <row r="654" spans="5:11" x14ac:dyDescent="0.2">
      <c r="E654" s="10"/>
      <c r="F654" s="53"/>
      <c r="G654" s="9"/>
      <c r="J654" s="17"/>
      <c r="K654" s="17"/>
    </row>
    <row r="655" spans="5:11" x14ac:dyDescent="0.2">
      <c r="E655" s="10"/>
      <c r="F655" s="53"/>
      <c r="G655" s="9"/>
      <c r="J655" s="17"/>
      <c r="K655" s="17"/>
    </row>
    <row r="656" spans="5:11" x14ac:dyDescent="0.2">
      <c r="E656" s="10"/>
      <c r="F656" s="53"/>
      <c r="G656" s="9"/>
      <c r="J656" s="17"/>
      <c r="K656" s="17"/>
    </row>
    <row r="657" spans="5:11" x14ac:dyDescent="0.2">
      <c r="E657" s="10"/>
      <c r="F657" s="53"/>
      <c r="G657" s="9"/>
      <c r="J657" s="17"/>
      <c r="K657" s="17"/>
    </row>
    <row r="658" spans="5:11" x14ac:dyDescent="0.2">
      <c r="E658" s="10"/>
      <c r="F658" s="53"/>
      <c r="G658" s="9"/>
      <c r="J658" s="17"/>
      <c r="K658" s="17"/>
    </row>
    <row r="659" spans="5:11" x14ac:dyDescent="0.2">
      <c r="E659" s="10"/>
      <c r="F659" s="53"/>
      <c r="G659" s="9"/>
      <c r="J659" s="17"/>
      <c r="K659" s="17"/>
    </row>
    <row r="660" spans="5:11" x14ac:dyDescent="0.2">
      <c r="E660" s="10"/>
      <c r="F660" s="53"/>
      <c r="G660" s="9"/>
      <c r="J660" s="17"/>
      <c r="K660" s="17"/>
    </row>
    <row r="661" spans="5:11" x14ac:dyDescent="0.2">
      <c r="E661" s="10"/>
      <c r="F661" s="53"/>
      <c r="G661" s="9"/>
      <c r="J661" s="17"/>
      <c r="K661" s="17"/>
    </row>
    <row r="662" spans="5:11" x14ac:dyDescent="0.2">
      <c r="E662" s="10"/>
      <c r="F662" s="53"/>
      <c r="G662" s="9"/>
      <c r="J662" s="17"/>
      <c r="K662" s="17"/>
    </row>
    <row r="663" spans="5:11" x14ac:dyDescent="0.2">
      <c r="E663" s="10"/>
      <c r="F663" s="53"/>
      <c r="G663" s="9"/>
      <c r="J663" s="17"/>
      <c r="K663" s="17"/>
    </row>
    <row r="664" spans="5:11" x14ac:dyDescent="0.2">
      <c r="E664" s="10"/>
      <c r="F664" s="53"/>
      <c r="G664" s="9"/>
      <c r="J664" s="17"/>
      <c r="K664" s="17"/>
    </row>
    <row r="665" spans="5:11" x14ac:dyDescent="0.2">
      <c r="E665" s="10"/>
      <c r="F665" s="53"/>
      <c r="G665" s="9"/>
      <c r="J665" s="17"/>
      <c r="K665" s="17"/>
    </row>
    <row r="666" spans="5:11" x14ac:dyDescent="0.2">
      <c r="E666" s="10"/>
      <c r="F666" s="53"/>
      <c r="G666" s="9"/>
      <c r="J666" s="17"/>
      <c r="K666" s="17"/>
    </row>
    <row r="667" spans="5:11" x14ac:dyDescent="0.2">
      <c r="E667" s="10"/>
      <c r="F667" s="53"/>
      <c r="G667" s="9"/>
      <c r="J667" s="17"/>
      <c r="K667" s="17"/>
    </row>
    <row r="668" spans="5:11" x14ac:dyDescent="0.2">
      <c r="E668" s="10"/>
      <c r="F668" s="53"/>
      <c r="G668" s="9"/>
      <c r="J668" s="17"/>
      <c r="K668" s="17"/>
    </row>
    <row r="669" spans="5:11" x14ac:dyDescent="0.2">
      <c r="E669" s="10"/>
      <c r="F669" s="53"/>
      <c r="G669" s="9"/>
      <c r="J669" s="17"/>
      <c r="K669" s="17"/>
    </row>
    <row r="670" spans="5:11" x14ac:dyDescent="0.2">
      <c r="E670" s="10"/>
      <c r="F670" s="53"/>
      <c r="G670" s="9"/>
      <c r="J670" s="17"/>
      <c r="K670" s="17"/>
    </row>
    <row r="671" spans="5:11" x14ac:dyDescent="0.2">
      <c r="E671" s="10"/>
      <c r="F671" s="53"/>
      <c r="G671" s="9"/>
      <c r="J671" s="17"/>
      <c r="K671" s="17"/>
    </row>
    <row r="672" spans="5:11" x14ac:dyDescent="0.2">
      <c r="E672" s="10"/>
      <c r="F672" s="53"/>
      <c r="G672" s="9"/>
      <c r="J672" s="17"/>
      <c r="K672" s="17"/>
    </row>
    <row r="673" spans="5:11" x14ac:dyDescent="0.2">
      <c r="E673" s="10"/>
      <c r="F673" s="53"/>
      <c r="G673" s="9"/>
      <c r="J673" s="17"/>
      <c r="K673" s="17"/>
    </row>
    <row r="674" spans="5:11" x14ac:dyDescent="0.2">
      <c r="E674" s="10"/>
      <c r="F674" s="53"/>
      <c r="G674" s="9"/>
      <c r="J674" s="17"/>
      <c r="K674" s="17"/>
    </row>
    <row r="675" spans="5:11" x14ac:dyDescent="0.2">
      <c r="E675" s="10"/>
      <c r="F675" s="53"/>
      <c r="G675" s="9"/>
      <c r="J675" s="17"/>
      <c r="K675" s="17"/>
    </row>
    <row r="676" spans="5:11" x14ac:dyDescent="0.2">
      <c r="J676" s="17"/>
      <c r="K676" s="17"/>
    </row>
    <row r="677" spans="5:11" ht="12.75" x14ac:dyDescent="0.2">
      <c r="E677" s="54"/>
      <c r="F677" s="55"/>
      <c r="G677" s="56">
        <f>SUM(G9:G676)</f>
        <v>0</v>
      </c>
    </row>
  </sheetData>
  <mergeCells count="5">
    <mergeCell ref="I3:K3"/>
    <mergeCell ref="M3:M4"/>
    <mergeCell ref="B3:B4"/>
    <mergeCell ref="C3:C4"/>
    <mergeCell ref="E3:G3"/>
  </mergeCells>
  <dataValidations count="2">
    <dataValidation type="list" allowBlank="1" showInputMessage="1" showErrorMessage="1" sqref="M19:M21 L26:L674 M57:M674 L23:M24 L9:L22" xr:uid="{79FD5F7A-EDDD-4773-A1B0-0BF72BACA268}">
      <formula1>Taxes</formula1>
    </dataValidation>
    <dataValidation type="list" allowBlank="1" showInputMessage="1" showErrorMessage="1" sqref="B9:C675" xr:uid="{7ACCFBD0-40D8-4AE5-B23B-F55E71B99776}">
      <formula1>Compadjust</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3DE54-8B84-4FCD-8F70-79B49E021EB8}">
  <dimension ref="B2:E803"/>
  <sheetViews>
    <sheetView showGridLines="0" zoomScale="70" zoomScaleNormal="70" workbookViewId="0">
      <selection activeCell="D4" sqref="D4"/>
    </sheetView>
  </sheetViews>
  <sheetFormatPr defaultColWidth="11.43359375" defaultRowHeight="13.5" x14ac:dyDescent="0.2"/>
  <cols>
    <col min="1" max="1" width="11.43359375" style="4"/>
    <col min="2" max="2" width="6.72265625" style="64" bestFit="1" customWidth="1"/>
    <col min="3" max="3" width="92.41796875" style="4" bestFit="1" customWidth="1"/>
    <col min="4" max="4" width="48.15625" style="76" bestFit="1" customWidth="1"/>
    <col min="5" max="5" width="21.65625" style="4" bestFit="1" customWidth="1"/>
    <col min="6" max="6" width="13.98828125" style="4" bestFit="1" customWidth="1"/>
    <col min="7" max="16384" width="11.43359375" style="4"/>
  </cols>
  <sheetData>
    <row r="2" spans="2:5" ht="14.25" x14ac:dyDescent="0.15">
      <c r="B2" s="128" t="s">
        <v>9</v>
      </c>
    </row>
    <row r="3" spans="2:5" ht="12" x14ac:dyDescent="0.15">
      <c r="B3" s="4"/>
      <c r="D3" s="4"/>
    </row>
    <row r="4" spans="2:5" ht="12" x14ac:dyDescent="0.15">
      <c r="B4" s="234" t="s">
        <v>22</v>
      </c>
      <c r="C4" s="235" t="s">
        <v>23</v>
      </c>
      <c r="D4" s="236" t="s">
        <v>3411</v>
      </c>
      <c r="E4" s="236" t="s">
        <v>3412</v>
      </c>
    </row>
    <row r="5" spans="2:5" ht="15" x14ac:dyDescent="0.2">
      <c r="B5" s="237">
        <v>1</v>
      </c>
      <c r="C5" s="237" t="s">
        <v>28</v>
      </c>
      <c r="D5" s="237" t="s">
        <v>3413</v>
      </c>
      <c r="E5" s="243">
        <v>971722884500</v>
      </c>
    </row>
    <row r="6" spans="2:5" ht="15" x14ac:dyDescent="0.2">
      <c r="B6" s="237">
        <f t="shared" ref="B6:B69" si="0">B5+1</f>
        <v>2</v>
      </c>
      <c r="C6" s="237" t="s">
        <v>70</v>
      </c>
      <c r="D6" s="237" t="s">
        <v>3413</v>
      </c>
      <c r="E6" s="243">
        <v>747842775365</v>
      </c>
    </row>
    <row r="7" spans="2:5" ht="15" x14ac:dyDescent="0.2">
      <c r="B7" s="237">
        <f t="shared" si="0"/>
        <v>3</v>
      </c>
      <c r="C7" s="237" t="s">
        <v>32</v>
      </c>
      <c r="D7" s="237" t="s">
        <v>3413</v>
      </c>
      <c r="E7" s="243">
        <v>614849654585</v>
      </c>
    </row>
    <row r="8" spans="2:5" ht="15" x14ac:dyDescent="0.2">
      <c r="B8" s="237">
        <f t="shared" si="0"/>
        <v>4</v>
      </c>
      <c r="C8" s="237" t="s">
        <v>67</v>
      </c>
      <c r="D8" s="237" t="s">
        <v>3413</v>
      </c>
      <c r="E8" s="243">
        <v>439803186117</v>
      </c>
    </row>
    <row r="9" spans="2:5" ht="15" x14ac:dyDescent="0.2">
      <c r="B9" s="237">
        <f t="shared" si="0"/>
        <v>5</v>
      </c>
      <c r="C9" s="237" t="s">
        <v>610</v>
      </c>
      <c r="D9" s="237" t="s">
        <v>3414</v>
      </c>
      <c r="E9" s="243">
        <v>423179965850</v>
      </c>
    </row>
    <row r="10" spans="2:5" ht="15" x14ac:dyDescent="0.2">
      <c r="B10" s="237">
        <f t="shared" si="0"/>
        <v>6</v>
      </c>
      <c r="C10" s="237" t="s">
        <v>1728</v>
      </c>
      <c r="D10" s="237" t="s">
        <v>3413</v>
      </c>
      <c r="E10" s="243">
        <v>401183571145</v>
      </c>
    </row>
    <row r="11" spans="2:5" ht="15" x14ac:dyDescent="0.2">
      <c r="B11" s="237">
        <f t="shared" si="0"/>
        <v>7</v>
      </c>
      <c r="C11" s="237" t="s">
        <v>36</v>
      </c>
      <c r="D11" s="237" t="s">
        <v>3413</v>
      </c>
      <c r="E11" s="243">
        <v>281841046966</v>
      </c>
    </row>
    <row r="12" spans="2:5" ht="15" x14ac:dyDescent="0.2">
      <c r="B12" s="237">
        <f t="shared" si="0"/>
        <v>8</v>
      </c>
      <c r="C12" s="237" t="s">
        <v>724</v>
      </c>
      <c r="D12" s="237" t="s">
        <v>3413</v>
      </c>
      <c r="E12" s="243">
        <v>150303845432</v>
      </c>
    </row>
    <row r="13" spans="2:5" ht="15" x14ac:dyDescent="0.2">
      <c r="B13" s="237">
        <f t="shared" si="0"/>
        <v>9</v>
      </c>
      <c r="C13" s="237" t="s">
        <v>71</v>
      </c>
      <c r="D13" s="237" t="s">
        <v>3413</v>
      </c>
      <c r="E13" s="243">
        <v>104943234500</v>
      </c>
    </row>
    <row r="14" spans="2:5" ht="15" x14ac:dyDescent="0.2">
      <c r="B14" s="237">
        <f t="shared" si="0"/>
        <v>10</v>
      </c>
      <c r="C14" s="237" t="s">
        <v>613</v>
      </c>
      <c r="D14" s="237" t="s">
        <v>3414</v>
      </c>
      <c r="E14" s="243">
        <v>94800616024</v>
      </c>
    </row>
    <row r="15" spans="2:5" ht="15" x14ac:dyDescent="0.2">
      <c r="B15" s="237">
        <f t="shared" si="0"/>
        <v>11</v>
      </c>
      <c r="C15" s="237" t="s">
        <v>74</v>
      </c>
      <c r="D15" s="237" t="s">
        <v>3413</v>
      </c>
      <c r="E15" s="243">
        <v>63991445892</v>
      </c>
    </row>
    <row r="16" spans="2:5" ht="15" x14ac:dyDescent="0.2">
      <c r="B16" s="237">
        <f t="shared" si="0"/>
        <v>12</v>
      </c>
      <c r="C16" s="237" t="s">
        <v>44</v>
      </c>
      <c r="D16" s="237" t="s">
        <v>3413</v>
      </c>
      <c r="E16" s="243">
        <v>52986252649</v>
      </c>
    </row>
    <row r="17" spans="2:5" ht="15" x14ac:dyDescent="0.2">
      <c r="B17" s="237">
        <f t="shared" si="0"/>
        <v>13</v>
      </c>
      <c r="C17" s="237" t="s">
        <v>614</v>
      </c>
      <c r="D17" s="237" t="s">
        <v>3414</v>
      </c>
      <c r="E17" s="243">
        <v>51952829009</v>
      </c>
    </row>
    <row r="18" spans="2:5" ht="15" x14ac:dyDescent="0.2">
      <c r="B18" s="237">
        <f t="shared" si="0"/>
        <v>14</v>
      </c>
      <c r="C18" s="237" t="s">
        <v>77</v>
      </c>
      <c r="D18" s="237" t="s">
        <v>678</v>
      </c>
      <c r="E18" s="243">
        <v>51598052962</v>
      </c>
    </row>
    <row r="19" spans="2:5" ht="15" x14ac:dyDescent="0.2">
      <c r="B19" s="237">
        <f t="shared" si="0"/>
        <v>15</v>
      </c>
      <c r="C19" s="237" t="s">
        <v>3415</v>
      </c>
      <c r="D19" s="237" t="s">
        <v>3413</v>
      </c>
      <c r="E19" s="243">
        <v>49430955036</v>
      </c>
    </row>
    <row r="20" spans="2:5" ht="15" x14ac:dyDescent="0.2">
      <c r="B20" s="237">
        <f t="shared" si="0"/>
        <v>16</v>
      </c>
      <c r="C20" s="237" t="s">
        <v>60</v>
      </c>
      <c r="D20" s="237" t="s">
        <v>3413</v>
      </c>
      <c r="E20" s="243">
        <v>44585950383</v>
      </c>
    </row>
    <row r="21" spans="2:5" ht="15" x14ac:dyDescent="0.2">
      <c r="B21" s="237">
        <f t="shared" si="0"/>
        <v>17</v>
      </c>
      <c r="C21" s="237" t="s">
        <v>80</v>
      </c>
      <c r="D21" s="237" t="s">
        <v>3413</v>
      </c>
      <c r="E21" s="243">
        <v>44120904057</v>
      </c>
    </row>
    <row r="22" spans="2:5" ht="15" x14ac:dyDescent="0.2">
      <c r="B22" s="237">
        <f t="shared" si="0"/>
        <v>18</v>
      </c>
      <c r="C22" s="237" t="s">
        <v>84</v>
      </c>
      <c r="D22" s="237" t="s">
        <v>3413</v>
      </c>
      <c r="E22" s="243">
        <v>36909007559</v>
      </c>
    </row>
    <row r="23" spans="2:5" ht="15" x14ac:dyDescent="0.2">
      <c r="B23" s="237">
        <f t="shared" si="0"/>
        <v>19</v>
      </c>
      <c r="C23" s="237" t="s">
        <v>79</v>
      </c>
      <c r="D23" s="237" t="s">
        <v>3413</v>
      </c>
      <c r="E23" s="243">
        <v>33229103176</v>
      </c>
    </row>
    <row r="24" spans="2:5" ht="15" x14ac:dyDescent="0.2">
      <c r="B24" s="237">
        <f t="shared" si="0"/>
        <v>20</v>
      </c>
      <c r="C24" s="237" t="s">
        <v>59</v>
      </c>
      <c r="D24" s="237" t="s">
        <v>3413</v>
      </c>
      <c r="E24" s="243">
        <v>32557607657</v>
      </c>
    </row>
    <row r="25" spans="2:5" ht="15" x14ac:dyDescent="0.2">
      <c r="B25" s="237">
        <f t="shared" si="0"/>
        <v>21</v>
      </c>
      <c r="C25" s="237" t="s">
        <v>61</v>
      </c>
      <c r="D25" s="237" t="s">
        <v>3413</v>
      </c>
      <c r="E25" s="243">
        <v>31663922955.118797</v>
      </c>
    </row>
    <row r="26" spans="2:5" ht="15" x14ac:dyDescent="0.2">
      <c r="B26" s="237">
        <f t="shared" si="0"/>
        <v>22</v>
      </c>
      <c r="C26" s="237" t="s">
        <v>81</v>
      </c>
      <c r="D26" s="237" t="s">
        <v>3413</v>
      </c>
      <c r="E26" s="243">
        <v>25300543346</v>
      </c>
    </row>
    <row r="27" spans="2:5" ht="15" x14ac:dyDescent="0.2">
      <c r="B27" s="237">
        <f t="shared" si="0"/>
        <v>23</v>
      </c>
      <c r="C27" s="237" t="s">
        <v>89</v>
      </c>
      <c r="D27" s="237" t="s">
        <v>3413</v>
      </c>
      <c r="E27" s="243">
        <v>23197918206</v>
      </c>
    </row>
    <row r="28" spans="2:5" ht="15" x14ac:dyDescent="0.2">
      <c r="B28" s="237">
        <f t="shared" si="0"/>
        <v>24</v>
      </c>
      <c r="C28" s="237" t="s">
        <v>88</v>
      </c>
      <c r="D28" s="237" t="s">
        <v>3413</v>
      </c>
      <c r="E28" s="243">
        <v>22869202812</v>
      </c>
    </row>
    <row r="29" spans="2:5" ht="15" x14ac:dyDescent="0.2">
      <c r="B29" s="237">
        <f t="shared" si="0"/>
        <v>25</v>
      </c>
      <c r="C29" s="237" t="s">
        <v>75</v>
      </c>
      <c r="D29" s="237" t="s">
        <v>3413</v>
      </c>
      <c r="E29" s="243">
        <v>22440150117</v>
      </c>
    </row>
    <row r="30" spans="2:5" ht="15" x14ac:dyDescent="0.2">
      <c r="B30" s="237">
        <f t="shared" si="0"/>
        <v>26</v>
      </c>
      <c r="C30" s="237" t="s">
        <v>615</v>
      </c>
      <c r="D30" s="237" t="s">
        <v>3414</v>
      </c>
      <c r="E30" s="243">
        <v>21214031613</v>
      </c>
    </row>
    <row r="31" spans="2:5" ht="15" x14ac:dyDescent="0.2">
      <c r="B31" s="237">
        <f t="shared" si="0"/>
        <v>27</v>
      </c>
      <c r="C31" s="237" t="s">
        <v>86</v>
      </c>
      <c r="D31" s="237" t="s">
        <v>3413</v>
      </c>
      <c r="E31" s="243">
        <v>20789713726</v>
      </c>
    </row>
    <row r="32" spans="2:5" ht="15" x14ac:dyDescent="0.2">
      <c r="B32" s="237">
        <f t="shared" si="0"/>
        <v>28</v>
      </c>
      <c r="C32" s="237" t="s">
        <v>643</v>
      </c>
      <c r="D32" s="237" t="s">
        <v>3413</v>
      </c>
      <c r="E32" s="243">
        <v>19020071644</v>
      </c>
    </row>
    <row r="33" spans="2:5" ht="15" x14ac:dyDescent="0.2">
      <c r="B33" s="237">
        <f t="shared" si="0"/>
        <v>29</v>
      </c>
      <c r="C33" s="237" t="s">
        <v>87</v>
      </c>
      <c r="D33" s="237" t="s">
        <v>3413</v>
      </c>
      <c r="E33" s="243">
        <v>17880961015</v>
      </c>
    </row>
    <row r="34" spans="2:5" ht="15" x14ac:dyDescent="0.2">
      <c r="B34" s="237">
        <f t="shared" si="0"/>
        <v>30</v>
      </c>
      <c r="C34" s="237" t="s">
        <v>93</v>
      </c>
      <c r="D34" s="237" t="s">
        <v>3413</v>
      </c>
      <c r="E34" s="243">
        <v>15486681886</v>
      </c>
    </row>
    <row r="35" spans="2:5" ht="15" x14ac:dyDescent="0.2">
      <c r="B35" s="237">
        <f t="shared" si="0"/>
        <v>31</v>
      </c>
      <c r="C35" s="237" t="s">
        <v>92</v>
      </c>
      <c r="D35" s="237" t="s">
        <v>3413</v>
      </c>
      <c r="E35" s="243">
        <v>15397836719</v>
      </c>
    </row>
    <row r="36" spans="2:5" ht="15" x14ac:dyDescent="0.2">
      <c r="B36" s="237">
        <f t="shared" si="0"/>
        <v>32</v>
      </c>
      <c r="C36" s="237" t="s">
        <v>616</v>
      </c>
      <c r="D36" s="237" t="s">
        <v>3414</v>
      </c>
      <c r="E36" s="243">
        <v>13371462791</v>
      </c>
    </row>
    <row r="37" spans="2:5" ht="15" x14ac:dyDescent="0.2">
      <c r="B37" s="237">
        <f t="shared" si="0"/>
        <v>33</v>
      </c>
      <c r="C37" s="237" t="s">
        <v>83</v>
      </c>
      <c r="D37" s="237" t="s">
        <v>3413</v>
      </c>
      <c r="E37" s="243">
        <v>11982322960</v>
      </c>
    </row>
    <row r="38" spans="2:5" ht="15" x14ac:dyDescent="0.2">
      <c r="B38" s="237">
        <f t="shared" si="0"/>
        <v>34</v>
      </c>
      <c r="C38" s="237" t="s">
        <v>98</v>
      </c>
      <c r="D38" s="237" t="s">
        <v>3413</v>
      </c>
      <c r="E38" s="243">
        <v>11758128564</v>
      </c>
    </row>
    <row r="39" spans="2:5" ht="15" x14ac:dyDescent="0.2">
      <c r="B39" s="237">
        <f t="shared" si="0"/>
        <v>35</v>
      </c>
      <c r="C39" s="237" t="s">
        <v>102</v>
      </c>
      <c r="D39" s="237" t="s">
        <v>3416</v>
      </c>
      <c r="E39" s="243">
        <v>10967065605</v>
      </c>
    </row>
    <row r="40" spans="2:5" ht="15" x14ac:dyDescent="0.2">
      <c r="B40" s="237">
        <f t="shared" si="0"/>
        <v>36</v>
      </c>
      <c r="C40" s="237" t="s">
        <v>94</v>
      </c>
      <c r="D40" s="237" t="s">
        <v>3413</v>
      </c>
      <c r="E40" s="243">
        <v>10866297209</v>
      </c>
    </row>
    <row r="41" spans="2:5" ht="15" x14ac:dyDescent="0.2">
      <c r="B41" s="237">
        <f t="shared" si="0"/>
        <v>37</v>
      </c>
      <c r="C41" s="237" t="s">
        <v>138</v>
      </c>
      <c r="D41" s="237" t="s">
        <v>3413</v>
      </c>
      <c r="E41" s="243">
        <v>10377701588</v>
      </c>
    </row>
    <row r="42" spans="2:5" ht="15" x14ac:dyDescent="0.2">
      <c r="B42" s="237">
        <f t="shared" si="0"/>
        <v>38</v>
      </c>
      <c r="C42" s="237" t="s">
        <v>95</v>
      </c>
      <c r="D42" s="237" t="s">
        <v>3413</v>
      </c>
      <c r="E42" s="243">
        <v>10320882683</v>
      </c>
    </row>
    <row r="43" spans="2:5" ht="15" x14ac:dyDescent="0.2">
      <c r="B43" s="237">
        <f t="shared" si="0"/>
        <v>39</v>
      </c>
      <c r="C43" s="237" t="s">
        <v>96</v>
      </c>
      <c r="D43" s="237" t="s">
        <v>3413</v>
      </c>
      <c r="E43" s="243">
        <v>8895259950</v>
      </c>
    </row>
    <row r="44" spans="2:5" ht="15" x14ac:dyDescent="0.2">
      <c r="B44" s="237">
        <f t="shared" si="0"/>
        <v>40</v>
      </c>
      <c r="C44" s="237" t="s">
        <v>617</v>
      </c>
      <c r="D44" s="237" t="s">
        <v>3414</v>
      </c>
      <c r="E44" s="243">
        <v>8648716294</v>
      </c>
    </row>
    <row r="45" spans="2:5" ht="15" x14ac:dyDescent="0.2">
      <c r="B45" s="237">
        <f t="shared" si="0"/>
        <v>41</v>
      </c>
      <c r="C45" s="237" t="s">
        <v>3417</v>
      </c>
      <c r="D45" s="237" t="s">
        <v>3413</v>
      </c>
      <c r="E45" s="243">
        <v>7974185247</v>
      </c>
    </row>
    <row r="46" spans="2:5" ht="15" x14ac:dyDescent="0.2">
      <c r="B46" s="237">
        <f t="shared" si="0"/>
        <v>42</v>
      </c>
      <c r="C46" s="237" t="s">
        <v>618</v>
      </c>
      <c r="D46" s="237" t="s">
        <v>3414</v>
      </c>
      <c r="E46" s="243">
        <v>7648187062</v>
      </c>
    </row>
    <row r="47" spans="2:5" ht="15" x14ac:dyDescent="0.2">
      <c r="B47" s="237">
        <f t="shared" si="0"/>
        <v>43</v>
      </c>
      <c r="C47" s="237" t="s">
        <v>106</v>
      </c>
      <c r="D47" s="237" t="s">
        <v>3413</v>
      </c>
      <c r="E47" s="243">
        <v>7587381009</v>
      </c>
    </row>
    <row r="48" spans="2:5" ht="15" x14ac:dyDescent="0.2">
      <c r="B48" s="237">
        <f t="shared" si="0"/>
        <v>44</v>
      </c>
      <c r="C48" s="237" t="s">
        <v>99</v>
      </c>
      <c r="D48" s="237" t="s">
        <v>3413</v>
      </c>
      <c r="E48" s="243">
        <v>7176078055</v>
      </c>
    </row>
    <row r="49" spans="2:5" ht="15" x14ac:dyDescent="0.2">
      <c r="B49" s="237">
        <f t="shared" si="0"/>
        <v>45</v>
      </c>
      <c r="C49" s="237" t="s">
        <v>100</v>
      </c>
      <c r="D49" s="237" t="s">
        <v>3413</v>
      </c>
      <c r="E49" s="243">
        <v>7005884570</v>
      </c>
    </row>
    <row r="50" spans="2:5" ht="15" x14ac:dyDescent="0.2">
      <c r="B50" s="237">
        <f t="shared" si="0"/>
        <v>46</v>
      </c>
      <c r="C50" s="237" t="s">
        <v>97</v>
      </c>
      <c r="D50" s="237" t="s">
        <v>3413</v>
      </c>
      <c r="E50" s="243">
        <v>5501803579</v>
      </c>
    </row>
    <row r="51" spans="2:5" ht="15" x14ac:dyDescent="0.2">
      <c r="B51" s="237">
        <f t="shared" si="0"/>
        <v>47</v>
      </c>
      <c r="C51" s="237" t="s">
        <v>73</v>
      </c>
      <c r="D51" s="237" t="s">
        <v>3413</v>
      </c>
      <c r="E51" s="243">
        <v>5017797697</v>
      </c>
    </row>
    <row r="52" spans="2:5" ht="15" x14ac:dyDescent="0.2">
      <c r="B52" s="237">
        <f t="shared" si="0"/>
        <v>48</v>
      </c>
      <c r="C52" s="237" t="s">
        <v>103</v>
      </c>
      <c r="D52" s="237" t="s">
        <v>3413</v>
      </c>
      <c r="E52" s="243">
        <v>4829560170</v>
      </c>
    </row>
    <row r="53" spans="2:5" ht="15" x14ac:dyDescent="0.2">
      <c r="B53" s="237">
        <f t="shared" si="0"/>
        <v>49</v>
      </c>
      <c r="C53" s="237" t="s">
        <v>101</v>
      </c>
      <c r="D53" s="237" t="s">
        <v>3413</v>
      </c>
      <c r="E53" s="243">
        <v>4697223114</v>
      </c>
    </row>
    <row r="54" spans="2:5" ht="15" x14ac:dyDescent="0.2">
      <c r="B54" s="237">
        <f t="shared" si="0"/>
        <v>50</v>
      </c>
      <c r="C54" s="237" t="s">
        <v>90</v>
      </c>
      <c r="D54" s="237" t="s">
        <v>3416</v>
      </c>
      <c r="E54" s="243">
        <v>4672666978</v>
      </c>
    </row>
    <row r="55" spans="2:5" ht="15" x14ac:dyDescent="0.2">
      <c r="B55" s="237">
        <f t="shared" si="0"/>
        <v>51</v>
      </c>
      <c r="C55" s="237" t="s">
        <v>104</v>
      </c>
      <c r="D55" s="237" t="s">
        <v>3413</v>
      </c>
      <c r="E55" s="243">
        <v>4594416161</v>
      </c>
    </row>
    <row r="56" spans="2:5" ht="15" x14ac:dyDescent="0.2">
      <c r="B56" s="237">
        <f t="shared" si="0"/>
        <v>52</v>
      </c>
      <c r="C56" s="237" t="s">
        <v>105</v>
      </c>
      <c r="D56" s="237" t="s">
        <v>3413</v>
      </c>
      <c r="E56" s="243">
        <v>4270707275</v>
      </c>
    </row>
    <row r="57" spans="2:5" ht="15" x14ac:dyDescent="0.2">
      <c r="B57" s="237">
        <f t="shared" si="0"/>
        <v>53</v>
      </c>
      <c r="C57" s="237" t="s">
        <v>619</v>
      </c>
      <c r="D57" s="237" t="s">
        <v>3414</v>
      </c>
      <c r="E57" s="243">
        <v>3677665689</v>
      </c>
    </row>
    <row r="58" spans="2:5" ht="15" x14ac:dyDescent="0.2">
      <c r="B58" s="237">
        <f t="shared" si="0"/>
        <v>54</v>
      </c>
      <c r="C58" s="237" t="s">
        <v>107</v>
      </c>
      <c r="D58" s="237" t="s">
        <v>3413</v>
      </c>
      <c r="E58" s="243">
        <v>3403159139</v>
      </c>
    </row>
    <row r="59" spans="2:5" ht="15" x14ac:dyDescent="0.2">
      <c r="B59" s="237">
        <f t="shared" si="0"/>
        <v>55</v>
      </c>
      <c r="C59" s="237" t="s">
        <v>111</v>
      </c>
      <c r="D59" s="237" t="s">
        <v>3413</v>
      </c>
      <c r="E59" s="243">
        <v>2895868073</v>
      </c>
    </row>
    <row r="60" spans="2:5" ht="15" x14ac:dyDescent="0.2">
      <c r="B60" s="237">
        <f t="shared" si="0"/>
        <v>56</v>
      </c>
      <c r="C60" s="237" t="s">
        <v>108</v>
      </c>
      <c r="D60" s="237" t="s">
        <v>3413</v>
      </c>
      <c r="E60" s="243">
        <v>2810237957</v>
      </c>
    </row>
    <row r="61" spans="2:5" ht="15" x14ac:dyDescent="0.2">
      <c r="B61" s="237">
        <f t="shared" si="0"/>
        <v>57</v>
      </c>
      <c r="C61" s="237" t="s">
        <v>112</v>
      </c>
      <c r="D61" s="237" t="s">
        <v>3413</v>
      </c>
      <c r="E61" s="243">
        <v>2539713144</v>
      </c>
    </row>
    <row r="62" spans="2:5" ht="15" x14ac:dyDescent="0.2">
      <c r="B62" s="237">
        <f t="shared" si="0"/>
        <v>58</v>
      </c>
      <c r="C62" s="237" t="s">
        <v>113</v>
      </c>
      <c r="D62" s="237" t="s">
        <v>3413</v>
      </c>
      <c r="E62" s="243">
        <v>2398173713</v>
      </c>
    </row>
    <row r="63" spans="2:5" ht="15" x14ac:dyDescent="0.2">
      <c r="B63" s="237">
        <f t="shared" si="0"/>
        <v>59</v>
      </c>
      <c r="C63" s="237" t="s">
        <v>114</v>
      </c>
      <c r="D63" s="237" t="s">
        <v>3413</v>
      </c>
      <c r="E63" s="243">
        <v>2295152745</v>
      </c>
    </row>
    <row r="64" spans="2:5" ht="15" x14ac:dyDescent="0.2">
      <c r="B64" s="237">
        <f t="shared" si="0"/>
        <v>60</v>
      </c>
      <c r="C64" s="237" t="s">
        <v>3418</v>
      </c>
      <c r="D64" s="237" t="s">
        <v>3413</v>
      </c>
      <c r="E64" s="243">
        <v>2130661134</v>
      </c>
    </row>
    <row r="65" spans="2:5" ht="15" x14ac:dyDescent="0.2">
      <c r="B65" s="237">
        <f t="shared" si="0"/>
        <v>61</v>
      </c>
      <c r="C65" s="237" t="s">
        <v>115</v>
      </c>
      <c r="D65" s="237" t="s">
        <v>3413</v>
      </c>
      <c r="E65" s="243">
        <v>2096213767</v>
      </c>
    </row>
    <row r="66" spans="2:5" ht="15" x14ac:dyDescent="0.2">
      <c r="B66" s="237">
        <f t="shared" si="0"/>
        <v>62</v>
      </c>
      <c r="C66" s="237" t="s">
        <v>116</v>
      </c>
      <c r="D66" s="237" t="s">
        <v>3413</v>
      </c>
      <c r="E66" s="243">
        <v>1960965063</v>
      </c>
    </row>
    <row r="67" spans="2:5" ht="15" x14ac:dyDescent="0.2">
      <c r="B67" s="237">
        <f t="shared" si="0"/>
        <v>63</v>
      </c>
      <c r="C67" s="237" t="s">
        <v>621</v>
      </c>
      <c r="D67" s="237" t="s">
        <v>3414</v>
      </c>
      <c r="E67" s="243">
        <v>1934834174</v>
      </c>
    </row>
    <row r="68" spans="2:5" ht="15" x14ac:dyDescent="0.2">
      <c r="B68" s="237">
        <f t="shared" si="0"/>
        <v>64</v>
      </c>
      <c r="C68" s="237" t="s">
        <v>131</v>
      </c>
      <c r="D68" s="237" t="s">
        <v>3413</v>
      </c>
      <c r="E68" s="243">
        <v>1918876063</v>
      </c>
    </row>
    <row r="69" spans="2:5" ht="15" x14ac:dyDescent="0.2">
      <c r="B69" s="237">
        <f t="shared" si="0"/>
        <v>65</v>
      </c>
      <c r="C69" s="237" t="s">
        <v>123</v>
      </c>
      <c r="D69" s="237" t="s">
        <v>3413</v>
      </c>
      <c r="E69" s="243">
        <v>1840490945</v>
      </c>
    </row>
    <row r="70" spans="2:5" ht="15" x14ac:dyDescent="0.2">
      <c r="B70" s="237">
        <f t="shared" ref="B70:B133" si="1">B69+1</f>
        <v>66</v>
      </c>
      <c r="C70" s="237" t="s">
        <v>120</v>
      </c>
      <c r="D70" s="237" t="s">
        <v>3413</v>
      </c>
      <c r="E70" s="243">
        <v>1803534174</v>
      </c>
    </row>
    <row r="71" spans="2:5" ht="15" x14ac:dyDescent="0.2">
      <c r="B71" s="237">
        <f t="shared" si="1"/>
        <v>67</v>
      </c>
      <c r="C71" s="237" t="s">
        <v>140</v>
      </c>
      <c r="D71" s="237" t="s">
        <v>3413</v>
      </c>
      <c r="E71" s="243">
        <v>1786642113</v>
      </c>
    </row>
    <row r="72" spans="2:5" ht="15" x14ac:dyDescent="0.2">
      <c r="B72" s="237">
        <f t="shared" si="1"/>
        <v>68</v>
      </c>
      <c r="C72" s="237" t="s">
        <v>134</v>
      </c>
      <c r="D72" s="237" t="s">
        <v>3413</v>
      </c>
      <c r="E72" s="243">
        <v>1785324844</v>
      </c>
    </row>
    <row r="73" spans="2:5" ht="15" x14ac:dyDescent="0.2">
      <c r="B73" s="237">
        <f t="shared" si="1"/>
        <v>69</v>
      </c>
      <c r="C73" s="237" t="s">
        <v>121</v>
      </c>
      <c r="D73" s="237" t="s">
        <v>3413</v>
      </c>
      <c r="E73" s="243">
        <v>1684734000</v>
      </c>
    </row>
    <row r="74" spans="2:5" ht="15" x14ac:dyDescent="0.2">
      <c r="B74" s="237">
        <f t="shared" si="1"/>
        <v>70</v>
      </c>
      <c r="C74" s="237" t="s">
        <v>125</v>
      </c>
      <c r="D74" s="237" t="s">
        <v>3413</v>
      </c>
      <c r="E74" s="243">
        <v>1656738452</v>
      </c>
    </row>
    <row r="75" spans="2:5" ht="15" x14ac:dyDescent="0.2">
      <c r="B75" s="237">
        <f t="shared" si="1"/>
        <v>71</v>
      </c>
      <c r="C75" s="237" t="s">
        <v>3419</v>
      </c>
      <c r="D75" s="237" t="s">
        <v>3420</v>
      </c>
      <c r="E75" s="243">
        <v>1620259167</v>
      </c>
    </row>
    <row r="76" spans="2:5" ht="15" x14ac:dyDescent="0.2">
      <c r="B76" s="237">
        <f t="shared" si="1"/>
        <v>72</v>
      </c>
      <c r="C76" s="237" t="s">
        <v>118</v>
      </c>
      <c r="D76" s="237" t="s">
        <v>3413</v>
      </c>
      <c r="E76" s="243">
        <v>1536687727</v>
      </c>
    </row>
    <row r="77" spans="2:5" ht="15" x14ac:dyDescent="0.2">
      <c r="B77" s="237">
        <f t="shared" si="1"/>
        <v>73</v>
      </c>
      <c r="C77" s="237" t="s">
        <v>639</v>
      </c>
      <c r="D77" s="237" t="s">
        <v>3413</v>
      </c>
      <c r="E77" s="243">
        <v>1534430767</v>
      </c>
    </row>
    <row r="78" spans="2:5" ht="15" x14ac:dyDescent="0.2">
      <c r="B78" s="237">
        <f t="shared" si="1"/>
        <v>74</v>
      </c>
      <c r="C78" s="237" t="s">
        <v>624</v>
      </c>
      <c r="D78" s="237" t="s">
        <v>3414</v>
      </c>
      <c r="E78" s="243">
        <v>1531748414</v>
      </c>
    </row>
    <row r="79" spans="2:5" ht="15" x14ac:dyDescent="0.2">
      <c r="B79" s="237">
        <f t="shared" si="1"/>
        <v>75</v>
      </c>
      <c r="C79" s="237" t="s">
        <v>122</v>
      </c>
      <c r="D79" s="237" t="s">
        <v>3413</v>
      </c>
      <c r="E79" s="243">
        <v>1529029608</v>
      </c>
    </row>
    <row r="80" spans="2:5" ht="15" x14ac:dyDescent="0.2">
      <c r="B80" s="237">
        <f t="shared" si="1"/>
        <v>76</v>
      </c>
      <c r="C80" s="237" t="s">
        <v>646</v>
      </c>
      <c r="D80" s="237" t="s">
        <v>3413</v>
      </c>
      <c r="E80" s="243">
        <v>1515840061</v>
      </c>
    </row>
    <row r="81" spans="2:5" ht="15" x14ac:dyDescent="0.2">
      <c r="B81" s="237">
        <f t="shared" si="1"/>
        <v>77</v>
      </c>
      <c r="C81" s="237" t="s">
        <v>620</v>
      </c>
      <c r="D81" s="237" t="s">
        <v>3414</v>
      </c>
      <c r="E81" s="243">
        <v>1477352967</v>
      </c>
    </row>
    <row r="82" spans="2:5" ht="15" x14ac:dyDescent="0.2">
      <c r="B82" s="237">
        <f t="shared" si="1"/>
        <v>78</v>
      </c>
      <c r="C82" s="237" t="s">
        <v>126</v>
      </c>
      <c r="D82" s="237" t="s">
        <v>3413</v>
      </c>
      <c r="E82" s="243">
        <v>1454876039</v>
      </c>
    </row>
    <row r="83" spans="2:5" ht="15" x14ac:dyDescent="0.2">
      <c r="B83" s="237">
        <f t="shared" si="1"/>
        <v>79</v>
      </c>
      <c r="C83" s="237" t="s">
        <v>622</v>
      </c>
      <c r="D83" s="237" t="s">
        <v>3414</v>
      </c>
      <c r="E83" s="243">
        <v>1368910300</v>
      </c>
    </row>
    <row r="84" spans="2:5" ht="15" x14ac:dyDescent="0.2">
      <c r="B84" s="237">
        <f t="shared" si="1"/>
        <v>80</v>
      </c>
      <c r="C84" s="237" t="s">
        <v>647</v>
      </c>
      <c r="D84" s="237" t="s">
        <v>3413</v>
      </c>
      <c r="E84" s="243">
        <v>1316263104</v>
      </c>
    </row>
    <row r="85" spans="2:5" ht="15" x14ac:dyDescent="0.2">
      <c r="B85" s="237">
        <f t="shared" si="1"/>
        <v>81</v>
      </c>
      <c r="C85" s="237" t="s">
        <v>141</v>
      </c>
      <c r="D85" s="237" t="s">
        <v>3413</v>
      </c>
      <c r="E85" s="243">
        <v>1222461553</v>
      </c>
    </row>
    <row r="86" spans="2:5" ht="15" x14ac:dyDescent="0.2">
      <c r="B86" s="237">
        <f t="shared" si="1"/>
        <v>82</v>
      </c>
      <c r="C86" s="237" t="s">
        <v>135</v>
      </c>
      <c r="D86" s="237" t="s">
        <v>3413</v>
      </c>
      <c r="E86" s="243">
        <v>1220272943</v>
      </c>
    </row>
    <row r="87" spans="2:5" ht="15" x14ac:dyDescent="0.2">
      <c r="B87" s="237">
        <f t="shared" si="1"/>
        <v>83</v>
      </c>
      <c r="C87" s="237" t="s">
        <v>136</v>
      </c>
      <c r="D87" s="237" t="s">
        <v>3413</v>
      </c>
      <c r="E87" s="243">
        <v>1163521914</v>
      </c>
    </row>
    <row r="88" spans="2:5" ht="15" x14ac:dyDescent="0.2">
      <c r="B88" s="237">
        <f t="shared" si="1"/>
        <v>84</v>
      </c>
      <c r="C88" s="237" t="s">
        <v>623</v>
      </c>
      <c r="D88" s="237" t="s">
        <v>3414</v>
      </c>
      <c r="E88" s="243">
        <v>1146989265</v>
      </c>
    </row>
    <row r="89" spans="2:5" ht="15" x14ac:dyDescent="0.2">
      <c r="B89" s="237">
        <f t="shared" si="1"/>
        <v>85</v>
      </c>
      <c r="C89" s="237" t="s">
        <v>127</v>
      </c>
      <c r="D89" s="237" t="s">
        <v>3413</v>
      </c>
      <c r="E89" s="243">
        <v>1140831842</v>
      </c>
    </row>
    <row r="90" spans="2:5" ht="15" x14ac:dyDescent="0.2">
      <c r="B90" s="237">
        <f t="shared" si="1"/>
        <v>86</v>
      </c>
      <c r="C90" s="237" t="s">
        <v>139</v>
      </c>
      <c r="D90" s="237" t="s">
        <v>3413</v>
      </c>
      <c r="E90" s="243">
        <v>1130320247</v>
      </c>
    </row>
    <row r="91" spans="2:5" ht="15" x14ac:dyDescent="0.2">
      <c r="B91" s="237">
        <f t="shared" si="1"/>
        <v>87</v>
      </c>
      <c r="C91" s="237" t="s">
        <v>137</v>
      </c>
      <c r="D91" s="237" t="s">
        <v>3413</v>
      </c>
      <c r="E91" s="243">
        <v>1079790749</v>
      </c>
    </row>
    <row r="92" spans="2:5" ht="15" x14ac:dyDescent="0.2">
      <c r="B92" s="237">
        <f t="shared" si="1"/>
        <v>88</v>
      </c>
      <c r="C92" s="237" t="s">
        <v>109</v>
      </c>
      <c r="D92" s="237" t="s">
        <v>3413</v>
      </c>
      <c r="E92" s="243">
        <v>1019416622</v>
      </c>
    </row>
    <row r="93" spans="2:5" ht="15" x14ac:dyDescent="0.2">
      <c r="B93" s="237">
        <f t="shared" si="1"/>
        <v>89</v>
      </c>
      <c r="C93" s="237" t="s">
        <v>40</v>
      </c>
      <c r="D93" s="237" t="s">
        <v>3413</v>
      </c>
      <c r="E93" s="243">
        <v>1016021385</v>
      </c>
    </row>
    <row r="94" spans="2:5" ht="15" x14ac:dyDescent="0.2">
      <c r="B94" s="237">
        <f t="shared" si="1"/>
        <v>90</v>
      </c>
      <c r="C94" s="237" t="s">
        <v>130</v>
      </c>
      <c r="D94" s="237" t="s">
        <v>3413</v>
      </c>
      <c r="E94" s="243">
        <v>987890459</v>
      </c>
    </row>
    <row r="95" spans="2:5" ht="15" x14ac:dyDescent="0.2">
      <c r="B95" s="237">
        <f t="shared" si="1"/>
        <v>91</v>
      </c>
      <c r="C95" s="237" t="s">
        <v>648</v>
      </c>
      <c r="D95" s="237" t="s">
        <v>3413</v>
      </c>
      <c r="E95" s="243">
        <v>968763898</v>
      </c>
    </row>
    <row r="96" spans="2:5" ht="15" x14ac:dyDescent="0.2">
      <c r="B96" s="237">
        <f t="shared" si="1"/>
        <v>92</v>
      </c>
      <c r="C96" s="237" t="s">
        <v>119</v>
      </c>
      <c r="D96" s="237" t="s">
        <v>3413</v>
      </c>
      <c r="E96" s="243">
        <v>953345376</v>
      </c>
    </row>
    <row r="97" spans="2:5" ht="15" x14ac:dyDescent="0.2">
      <c r="B97" s="237">
        <f t="shared" si="1"/>
        <v>93</v>
      </c>
      <c r="C97" s="237" t="s">
        <v>128</v>
      </c>
      <c r="D97" s="237" t="s">
        <v>3413</v>
      </c>
      <c r="E97" s="243">
        <v>938760284</v>
      </c>
    </row>
    <row r="98" spans="2:5" ht="15" x14ac:dyDescent="0.2">
      <c r="B98" s="237">
        <f t="shared" si="1"/>
        <v>94</v>
      </c>
      <c r="C98" s="237" t="s">
        <v>151</v>
      </c>
      <c r="D98" s="237" t="s">
        <v>3413</v>
      </c>
      <c r="E98" s="243">
        <v>936460814</v>
      </c>
    </row>
    <row r="99" spans="2:5" ht="15" x14ac:dyDescent="0.2">
      <c r="B99" s="237">
        <f t="shared" si="1"/>
        <v>95</v>
      </c>
      <c r="C99" s="237" t="s">
        <v>129</v>
      </c>
      <c r="D99" s="237" t="s">
        <v>3413</v>
      </c>
      <c r="E99" s="243">
        <v>844899577</v>
      </c>
    </row>
    <row r="100" spans="2:5" ht="15" x14ac:dyDescent="0.2">
      <c r="B100" s="237">
        <f t="shared" si="1"/>
        <v>96</v>
      </c>
      <c r="C100" s="237" t="s">
        <v>153</v>
      </c>
      <c r="D100" s="237" t="s">
        <v>3413</v>
      </c>
      <c r="E100" s="243">
        <v>831606651</v>
      </c>
    </row>
    <row r="101" spans="2:5" ht="15" x14ac:dyDescent="0.2">
      <c r="B101" s="237">
        <f t="shared" si="1"/>
        <v>97</v>
      </c>
      <c r="C101" s="237" t="s">
        <v>143</v>
      </c>
      <c r="D101" s="237" t="s">
        <v>3413</v>
      </c>
      <c r="E101" s="243">
        <v>824531333</v>
      </c>
    </row>
    <row r="102" spans="2:5" ht="15" x14ac:dyDescent="0.2">
      <c r="B102" s="237">
        <f t="shared" si="1"/>
        <v>98</v>
      </c>
      <c r="C102" s="237" t="s">
        <v>145</v>
      </c>
      <c r="D102" s="237" t="s">
        <v>3413</v>
      </c>
      <c r="E102" s="243">
        <v>816527028</v>
      </c>
    </row>
    <row r="103" spans="2:5" ht="15" x14ac:dyDescent="0.2">
      <c r="B103" s="237">
        <f t="shared" si="1"/>
        <v>99</v>
      </c>
      <c r="C103" s="237" t="s">
        <v>625</v>
      </c>
      <c r="D103" s="237" t="s">
        <v>3414</v>
      </c>
      <c r="E103" s="243">
        <v>802694334</v>
      </c>
    </row>
    <row r="104" spans="2:5" ht="15" x14ac:dyDescent="0.2">
      <c r="B104" s="237">
        <f t="shared" si="1"/>
        <v>100</v>
      </c>
      <c r="C104" s="237" t="s">
        <v>146</v>
      </c>
      <c r="D104" s="237" t="s">
        <v>3413</v>
      </c>
      <c r="E104" s="243">
        <v>749444926</v>
      </c>
    </row>
    <row r="105" spans="2:5" ht="15" x14ac:dyDescent="0.2">
      <c r="B105" s="237">
        <f t="shared" si="1"/>
        <v>101</v>
      </c>
      <c r="C105" s="237" t="s">
        <v>149</v>
      </c>
      <c r="D105" s="237" t="s">
        <v>3413</v>
      </c>
      <c r="E105" s="243">
        <v>748081736</v>
      </c>
    </row>
    <row r="106" spans="2:5" ht="15" x14ac:dyDescent="0.2">
      <c r="B106" s="237">
        <f t="shared" si="1"/>
        <v>102</v>
      </c>
      <c r="C106" s="237" t="s">
        <v>148</v>
      </c>
      <c r="D106" s="237" t="s">
        <v>3413</v>
      </c>
      <c r="E106" s="243">
        <v>746936099</v>
      </c>
    </row>
    <row r="107" spans="2:5" ht="15" x14ac:dyDescent="0.2">
      <c r="B107" s="237">
        <f t="shared" si="1"/>
        <v>103</v>
      </c>
      <c r="C107" s="237" t="s">
        <v>3421</v>
      </c>
      <c r="D107" s="237" t="s">
        <v>3413</v>
      </c>
      <c r="E107" s="243">
        <v>710162902</v>
      </c>
    </row>
    <row r="108" spans="2:5" ht="15" x14ac:dyDescent="0.2">
      <c r="B108" s="237">
        <f t="shared" si="1"/>
        <v>104</v>
      </c>
      <c r="C108" s="237" t="s">
        <v>152</v>
      </c>
      <c r="D108" s="237" t="s">
        <v>3413</v>
      </c>
      <c r="E108" s="243">
        <v>695172499</v>
      </c>
    </row>
    <row r="109" spans="2:5" ht="15" x14ac:dyDescent="0.2">
      <c r="B109" s="237">
        <f t="shared" si="1"/>
        <v>105</v>
      </c>
      <c r="C109" s="237" t="s">
        <v>3422</v>
      </c>
      <c r="D109" s="237" t="s">
        <v>3413</v>
      </c>
      <c r="E109" s="243">
        <v>661475463</v>
      </c>
    </row>
    <row r="110" spans="2:5" ht="15" x14ac:dyDescent="0.2">
      <c r="B110" s="237">
        <f t="shared" si="1"/>
        <v>106</v>
      </c>
      <c r="C110" s="237" t="s">
        <v>157</v>
      </c>
      <c r="D110" s="237" t="s">
        <v>3413</v>
      </c>
      <c r="E110" s="243">
        <v>655943264</v>
      </c>
    </row>
    <row r="111" spans="2:5" ht="15" x14ac:dyDescent="0.2">
      <c r="B111" s="237">
        <f t="shared" si="1"/>
        <v>107</v>
      </c>
      <c r="C111" s="237" t="s">
        <v>155</v>
      </c>
      <c r="D111" s="237" t="s">
        <v>3413</v>
      </c>
      <c r="E111" s="243">
        <v>638018839</v>
      </c>
    </row>
    <row r="112" spans="2:5" ht="15" x14ac:dyDescent="0.2">
      <c r="B112" s="237">
        <f t="shared" si="1"/>
        <v>108</v>
      </c>
      <c r="C112" s="237" t="s">
        <v>159</v>
      </c>
      <c r="D112" s="237" t="s">
        <v>3413</v>
      </c>
      <c r="E112" s="243">
        <v>625543789</v>
      </c>
    </row>
    <row r="113" spans="2:5" ht="15" x14ac:dyDescent="0.2">
      <c r="B113" s="237">
        <f t="shared" si="1"/>
        <v>109</v>
      </c>
      <c r="C113" s="237" t="s">
        <v>642</v>
      </c>
      <c r="D113" s="237" t="s">
        <v>3413</v>
      </c>
      <c r="E113" s="243">
        <v>598457346</v>
      </c>
    </row>
    <row r="114" spans="2:5" ht="15" x14ac:dyDescent="0.2">
      <c r="B114" s="237">
        <f t="shared" si="1"/>
        <v>110</v>
      </c>
      <c r="C114" s="237" t="s">
        <v>627</v>
      </c>
      <c r="D114" s="237" t="s">
        <v>3414</v>
      </c>
      <c r="E114" s="243">
        <v>583368861</v>
      </c>
    </row>
    <row r="115" spans="2:5" ht="15" x14ac:dyDescent="0.2">
      <c r="B115" s="237">
        <f t="shared" si="1"/>
        <v>111</v>
      </c>
      <c r="C115" s="237" t="s">
        <v>3423</v>
      </c>
      <c r="D115" s="237" t="s">
        <v>3413</v>
      </c>
      <c r="E115" s="243">
        <v>575210668</v>
      </c>
    </row>
    <row r="116" spans="2:5" ht="15" x14ac:dyDescent="0.2">
      <c r="B116" s="237">
        <f t="shared" si="1"/>
        <v>112</v>
      </c>
      <c r="C116" s="237" t="s">
        <v>160</v>
      </c>
      <c r="D116" s="237" t="s">
        <v>3413</v>
      </c>
      <c r="E116" s="243">
        <v>556528163</v>
      </c>
    </row>
    <row r="117" spans="2:5" ht="15" x14ac:dyDescent="0.2">
      <c r="B117" s="237">
        <f t="shared" si="1"/>
        <v>113</v>
      </c>
      <c r="C117" s="237" t="s">
        <v>82</v>
      </c>
      <c r="D117" s="237" t="s">
        <v>3413</v>
      </c>
      <c r="E117" s="243">
        <v>535839708</v>
      </c>
    </row>
    <row r="118" spans="2:5" ht="15" x14ac:dyDescent="0.2">
      <c r="B118" s="237">
        <f t="shared" si="1"/>
        <v>114</v>
      </c>
      <c r="C118" s="237" t="s">
        <v>161</v>
      </c>
      <c r="D118" s="237" t="s">
        <v>3413</v>
      </c>
      <c r="E118" s="243">
        <v>525816853</v>
      </c>
    </row>
    <row r="119" spans="2:5" ht="15" x14ac:dyDescent="0.2">
      <c r="B119" s="237">
        <f t="shared" si="1"/>
        <v>115</v>
      </c>
      <c r="C119" s="237" t="s">
        <v>3424</v>
      </c>
      <c r="D119" s="237" t="s">
        <v>3413</v>
      </c>
      <c r="E119" s="243">
        <v>524113121</v>
      </c>
    </row>
    <row r="120" spans="2:5" ht="15" x14ac:dyDescent="0.2">
      <c r="B120" s="237">
        <f t="shared" si="1"/>
        <v>116</v>
      </c>
      <c r="C120" s="237" t="s">
        <v>185</v>
      </c>
      <c r="D120" s="237" t="s">
        <v>3413</v>
      </c>
      <c r="E120" s="243">
        <v>518117751</v>
      </c>
    </row>
    <row r="121" spans="2:5" ht="15" x14ac:dyDescent="0.2">
      <c r="B121" s="237">
        <f t="shared" si="1"/>
        <v>117</v>
      </c>
      <c r="C121" s="237" t="s">
        <v>164</v>
      </c>
      <c r="D121" s="237" t="s">
        <v>3413</v>
      </c>
      <c r="E121" s="243">
        <v>503657287</v>
      </c>
    </row>
    <row r="122" spans="2:5" ht="15" x14ac:dyDescent="0.2">
      <c r="B122" s="237">
        <f t="shared" si="1"/>
        <v>118</v>
      </c>
      <c r="C122" s="237" t="s">
        <v>180</v>
      </c>
      <c r="D122" s="237" t="s">
        <v>3413</v>
      </c>
      <c r="E122" s="243">
        <v>498447265</v>
      </c>
    </row>
    <row r="123" spans="2:5" ht="15" x14ac:dyDescent="0.2">
      <c r="B123" s="237">
        <f t="shared" si="1"/>
        <v>119</v>
      </c>
      <c r="C123" s="237" t="s">
        <v>628</v>
      </c>
      <c r="D123" s="237" t="s">
        <v>3414</v>
      </c>
      <c r="E123" s="243">
        <v>493406008</v>
      </c>
    </row>
    <row r="124" spans="2:5" ht="15" x14ac:dyDescent="0.2">
      <c r="B124" s="237">
        <f t="shared" si="1"/>
        <v>120</v>
      </c>
      <c r="C124" s="237" t="s">
        <v>163</v>
      </c>
      <c r="D124" s="237" t="s">
        <v>3413</v>
      </c>
      <c r="E124" s="243">
        <v>492912452</v>
      </c>
    </row>
    <row r="125" spans="2:5" ht="15" x14ac:dyDescent="0.2">
      <c r="B125" s="237">
        <f t="shared" si="1"/>
        <v>121</v>
      </c>
      <c r="C125" s="237" t="s">
        <v>3425</v>
      </c>
      <c r="D125" s="237" t="s">
        <v>3413</v>
      </c>
      <c r="E125" s="243">
        <v>485286019</v>
      </c>
    </row>
    <row r="126" spans="2:5" ht="15" x14ac:dyDescent="0.2">
      <c r="B126" s="237">
        <f t="shared" si="1"/>
        <v>122</v>
      </c>
      <c r="C126" s="237" t="s">
        <v>626</v>
      </c>
      <c r="D126" s="237" t="s">
        <v>3414</v>
      </c>
      <c r="E126" s="243">
        <v>461375484</v>
      </c>
    </row>
    <row r="127" spans="2:5" ht="15" x14ac:dyDescent="0.2">
      <c r="B127" s="237">
        <f t="shared" si="1"/>
        <v>123</v>
      </c>
      <c r="C127" s="237" t="s">
        <v>3426</v>
      </c>
      <c r="D127" s="237" t="s">
        <v>3413</v>
      </c>
      <c r="E127" s="243">
        <v>460684450</v>
      </c>
    </row>
    <row r="128" spans="2:5" ht="15" x14ac:dyDescent="0.2">
      <c r="B128" s="237">
        <f t="shared" si="1"/>
        <v>124</v>
      </c>
      <c r="C128" s="237" t="s">
        <v>167</v>
      </c>
      <c r="D128" s="237" t="s">
        <v>3413</v>
      </c>
      <c r="E128" s="243">
        <v>442339068</v>
      </c>
    </row>
    <row r="129" spans="2:5" ht="15" x14ac:dyDescent="0.2">
      <c r="B129" s="237">
        <f t="shared" si="1"/>
        <v>125</v>
      </c>
      <c r="C129" s="237" t="s">
        <v>168</v>
      </c>
      <c r="D129" s="237" t="s">
        <v>3413</v>
      </c>
      <c r="E129" s="243">
        <v>437333945</v>
      </c>
    </row>
    <row r="130" spans="2:5" ht="15" x14ac:dyDescent="0.2">
      <c r="B130" s="237">
        <f t="shared" si="1"/>
        <v>126</v>
      </c>
      <c r="C130" s="237" t="s">
        <v>162</v>
      </c>
      <c r="D130" s="237" t="s">
        <v>3413</v>
      </c>
      <c r="E130" s="243">
        <v>436590812</v>
      </c>
    </row>
    <row r="131" spans="2:5" ht="15" x14ac:dyDescent="0.2">
      <c r="B131" s="237">
        <f t="shared" si="1"/>
        <v>127</v>
      </c>
      <c r="C131" s="237" t="s">
        <v>184</v>
      </c>
      <c r="D131" s="237" t="s">
        <v>3413</v>
      </c>
      <c r="E131" s="243">
        <v>432435202</v>
      </c>
    </row>
    <row r="132" spans="2:5" ht="15" x14ac:dyDescent="0.2">
      <c r="B132" s="237">
        <f t="shared" si="1"/>
        <v>128</v>
      </c>
      <c r="C132" s="237" t="s">
        <v>3427</v>
      </c>
      <c r="D132" s="237" t="s">
        <v>3413</v>
      </c>
      <c r="E132" s="243">
        <v>431159805</v>
      </c>
    </row>
    <row r="133" spans="2:5" ht="15" x14ac:dyDescent="0.2">
      <c r="B133" s="237">
        <f t="shared" si="1"/>
        <v>129</v>
      </c>
      <c r="C133" s="237" t="s">
        <v>629</v>
      </c>
      <c r="D133" s="237" t="s">
        <v>3414</v>
      </c>
      <c r="E133" s="243">
        <v>427800595</v>
      </c>
    </row>
    <row r="134" spans="2:5" ht="15" x14ac:dyDescent="0.2">
      <c r="B134" s="237">
        <f t="shared" ref="B134:B197" si="2">B133+1</f>
        <v>130</v>
      </c>
      <c r="C134" s="237" t="s">
        <v>651</v>
      </c>
      <c r="D134" s="237" t="s">
        <v>3413</v>
      </c>
      <c r="E134" s="243">
        <v>424917649</v>
      </c>
    </row>
    <row r="135" spans="2:5" ht="15" x14ac:dyDescent="0.2">
      <c r="B135" s="237">
        <f t="shared" si="2"/>
        <v>131</v>
      </c>
      <c r="C135" s="237" t="s">
        <v>156</v>
      </c>
      <c r="D135" s="237" t="s">
        <v>3413</v>
      </c>
      <c r="E135" s="243">
        <v>419420290</v>
      </c>
    </row>
    <row r="136" spans="2:5" ht="15" x14ac:dyDescent="0.2">
      <c r="B136" s="237">
        <f t="shared" si="2"/>
        <v>132</v>
      </c>
      <c r="C136" s="237" t="s">
        <v>171</v>
      </c>
      <c r="D136" s="237" t="s">
        <v>3413</v>
      </c>
      <c r="E136" s="243">
        <v>407607438</v>
      </c>
    </row>
    <row r="137" spans="2:5" ht="15" x14ac:dyDescent="0.2">
      <c r="B137" s="237">
        <f t="shared" si="2"/>
        <v>133</v>
      </c>
      <c r="C137" s="237" t="s">
        <v>3428</v>
      </c>
      <c r="D137" s="237" t="s">
        <v>3413</v>
      </c>
      <c r="E137" s="243">
        <v>406141266</v>
      </c>
    </row>
    <row r="138" spans="2:5" ht="15" x14ac:dyDescent="0.2">
      <c r="B138" s="237">
        <f t="shared" si="2"/>
        <v>134</v>
      </c>
      <c r="C138" s="237" t="s">
        <v>166</v>
      </c>
      <c r="D138" s="237" t="s">
        <v>3413</v>
      </c>
      <c r="E138" s="243">
        <v>385708376</v>
      </c>
    </row>
    <row r="139" spans="2:5" ht="15" x14ac:dyDescent="0.2">
      <c r="B139" s="237">
        <f t="shared" si="2"/>
        <v>135</v>
      </c>
      <c r="C139" s="237" t="s">
        <v>3429</v>
      </c>
      <c r="D139" s="237" t="s">
        <v>3413</v>
      </c>
      <c r="E139" s="243">
        <v>366408026</v>
      </c>
    </row>
    <row r="140" spans="2:5" ht="15" x14ac:dyDescent="0.2">
      <c r="B140" s="237">
        <f t="shared" si="2"/>
        <v>136</v>
      </c>
      <c r="C140" s="237" t="s">
        <v>165</v>
      </c>
      <c r="D140" s="237" t="s">
        <v>3413</v>
      </c>
      <c r="E140" s="243">
        <v>365290127</v>
      </c>
    </row>
    <row r="141" spans="2:5" ht="15" x14ac:dyDescent="0.2">
      <c r="B141" s="237">
        <f t="shared" si="2"/>
        <v>137</v>
      </c>
      <c r="C141" s="237" t="s">
        <v>176</v>
      </c>
      <c r="D141" s="237" t="s">
        <v>3413</v>
      </c>
      <c r="E141" s="243">
        <v>363226183</v>
      </c>
    </row>
    <row r="142" spans="2:5" ht="15" x14ac:dyDescent="0.2">
      <c r="B142" s="237">
        <f t="shared" si="2"/>
        <v>138</v>
      </c>
      <c r="C142" s="237" t="s">
        <v>652</v>
      </c>
      <c r="D142" s="237" t="s">
        <v>3413</v>
      </c>
      <c r="E142" s="243">
        <v>359324705</v>
      </c>
    </row>
    <row r="143" spans="2:5" ht="15" x14ac:dyDescent="0.2">
      <c r="B143" s="237">
        <f t="shared" si="2"/>
        <v>139</v>
      </c>
      <c r="C143" s="237" t="s">
        <v>3430</v>
      </c>
      <c r="D143" s="237" t="s">
        <v>3413</v>
      </c>
      <c r="E143" s="243">
        <v>357047553</v>
      </c>
    </row>
    <row r="144" spans="2:5" ht="15" x14ac:dyDescent="0.2">
      <c r="B144" s="237">
        <f t="shared" si="2"/>
        <v>140</v>
      </c>
      <c r="C144" s="237" t="s">
        <v>177</v>
      </c>
      <c r="D144" s="237" t="s">
        <v>3413</v>
      </c>
      <c r="E144" s="243">
        <v>355818628</v>
      </c>
    </row>
    <row r="145" spans="2:5" ht="15" x14ac:dyDescent="0.2">
      <c r="B145" s="237">
        <f t="shared" si="2"/>
        <v>141</v>
      </c>
      <c r="C145" s="237" t="s">
        <v>3431</v>
      </c>
      <c r="D145" s="237" t="s">
        <v>3413</v>
      </c>
      <c r="E145" s="243">
        <v>339499404</v>
      </c>
    </row>
    <row r="146" spans="2:5" ht="15" x14ac:dyDescent="0.2">
      <c r="B146" s="237">
        <f t="shared" si="2"/>
        <v>142</v>
      </c>
      <c r="C146" s="237" t="s">
        <v>630</v>
      </c>
      <c r="D146" s="237" t="s">
        <v>3414</v>
      </c>
      <c r="E146" s="243">
        <v>335039252</v>
      </c>
    </row>
    <row r="147" spans="2:5" ht="15" x14ac:dyDescent="0.2">
      <c r="B147" s="237">
        <f t="shared" si="2"/>
        <v>143</v>
      </c>
      <c r="C147" s="237" t="s">
        <v>3432</v>
      </c>
      <c r="D147" s="237" t="s">
        <v>3413</v>
      </c>
      <c r="E147" s="243">
        <v>332968496</v>
      </c>
    </row>
    <row r="148" spans="2:5" ht="15" x14ac:dyDescent="0.2">
      <c r="B148" s="237">
        <f t="shared" si="2"/>
        <v>144</v>
      </c>
      <c r="C148" s="237" t="s">
        <v>178</v>
      </c>
      <c r="D148" s="237" t="s">
        <v>3413</v>
      </c>
      <c r="E148" s="243">
        <v>321121595</v>
      </c>
    </row>
    <row r="149" spans="2:5" ht="15" x14ac:dyDescent="0.2">
      <c r="B149" s="237">
        <f t="shared" si="2"/>
        <v>145</v>
      </c>
      <c r="C149" s="237" t="s">
        <v>142</v>
      </c>
      <c r="D149" s="237" t="s">
        <v>3413</v>
      </c>
      <c r="E149" s="243">
        <v>320058171</v>
      </c>
    </row>
    <row r="150" spans="2:5" ht="15" x14ac:dyDescent="0.2">
      <c r="B150" s="237">
        <f t="shared" si="2"/>
        <v>146</v>
      </c>
      <c r="C150" s="237" t="s">
        <v>186</v>
      </c>
      <c r="D150" s="237" t="s">
        <v>3413</v>
      </c>
      <c r="E150" s="243">
        <v>311839032</v>
      </c>
    </row>
    <row r="151" spans="2:5" ht="15" x14ac:dyDescent="0.2">
      <c r="B151" s="237">
        <f t="shared" si="2"/>
        <v>147</v>
      </c>
      <c r="C151" s="237" t="s">
        <v>200</v>
      </c>
      <c r="D151" s="237" t="s">
        <v>3413</v>
      </c>
      <c r="E151" s="243">
        <v>298658803</v>
      </c>
    </row>
    <row r="152" spans="2:5" ht="15" x14ac:dyDescent="0.2">
      <c r="B152" s="237">
        <f t="shared" si="2"/>
        <v>148</v>
      </c>
      <c r="C152" s="237" t="s">
        <v>3433</v>
      </c>
      <c r="D152" s="237" t="s">
        <v>3413</v>
      </c>
      <c r="E152" s="243">
        <v>298202964</v>
      </c>
    </row>
    <row r="153" spans="2:5" ht="15" x14ac:dyDescent="0.2">
      <c r="B153" s="237">
        <f t="shared" si="2"/>
        <v>149</v>
      </c>
      <c r="C153" s="237" t="s">
        <v>3434</v>
      </c>
      <c r="D153" s="237" t="s">
        <v>3413</v>
      </c>
      <c r="E153" s="243">
        <v>296788297</v>
      </c>
    </row>
    <row r="154" spans="2:5" ht="15" x14ac:dyDescent="0.2">
      <c r="B154" s="237">
        <f t="shared" si="2"/>
        <v>150</v>
      </c>
      <c r="C154" s="237" t="s">
        <v>194</v>
      </c>
      <c r="D154" s="237" t="s">
        <v>3413</v>
      </c>
      <c r="E154" s="243">
        <v>294166818</v>
      </c>
    </row>
    <row r="155" spans="2:5" ht="15" x14ac:dyDescent="0.2">
      <c r="B155" s="237">
        <f t="shared" si="2"/>
        <v>151</v>
      </c>
      <c r="C155" s="237" t="s">
        <v>201</v>
      </c>
      <c r="D155" s="237" t="s">
        <v>3413</v>
      </c>
      <c r="E155" s="243">
        <v>291730877</v>
      </c>
    </row>
    <row r="156" spans="2:5" ht="15" x14ac:dyDescent="0.2">
      <c r="B156" s="237">
        <f t="shared" si="2"/>
        <v>152</v>
      </c>
      <c r="C156" s="237" t="s">
        <v>174</v>
      </c>
      <c r="D156" s="237" t="s">
        <v>3413</v>
      </c>
      <c r="E156" s="243">
        <v>286867804</v>
      </c>
    </row>
    <row r="157" spans="2:5" ht="15" x14ac:dyDescent="0.2">
      <c r="B157" s="237">
        <f t="shared" si="2"/>
        <v>153</v>
      </c>
      <c r="C157" s="237" t="s">
        <v>655</v>
      </c>
      <c r="D157" s="237" t="s">
        <v>3413</v>
      </c>
      <c r="E157" s="243">
        <v>280146446</v>
      </c>
    </row>
    <row r="158" spans="2:5" ht="15" x14ac:dyDescent="0.2">
      <c r="B158" s="237">
        <f t="shared" si="2"/>
        <v>154</v>
      </c>
      <c r="C158" s="237" t="s">
        <v>188</v>
      </c>
      <c r="D158" s="237" t="s">
        <v>3413</v>
      </c>
      <c r="E158" s="243">
        <v>277544046</v>
      </c>
    </row>
    <row r="159" spans="2:5" ht="15" x14ac:dyDescent="0.2">
      <c r="B159" s="237">
        <f t="shared" si="2"/>
        <v>155</v>
      </c>
      <c r="C159" s="237" t="s">
        <v>203</v>
      </c>
      <c r="D159" s="237" t="s">
        <v>3413</v>
      </c>
      <c r="E159" s="243">
        <v>275472877</v>
      </c>
    </row>
    <row r="160" spans="2:5" ht="15" x14ac:dyDescent="0.2">
      <c r="B160" s="237">
        <f t="shared" si="2"/>
        <v>156</v>
      </c>
      <c r="C160" s="237" t="s">
        <v>205</v>
      </c>
      <c r="D160" s="237" t="s">
        <v>3413</v>
      </c>
      <c r="E160" s="243">
        <v>268654869</v>
      </c>
    </row>
    <row r="161" spans="2:5" ht="15" x14ac:dyDescent="0.2">
      <c r="B161" s="237">
        <f t="shared" si="2"/>
        <v>157</v>
      </c>
      <c r="C161" s="237" t="s">
        <v>189</v>
      </c>
      <c r="D161" s="237" t="s">
        <v>3413</v>
      </c>
      <c r="E161" s="243">
        <v>268474580</v>
      </c>
    </row>
    <row r="162" spans="2:5" ht="15" x14ac:dyDescent="0.2">
      <c r="B162" s="237">
        <f t="shared" si="2"/>
        <v>158</v>
      </c>
      <c r="C162" s="237" t="s">
        <v>150</v>
      </c>
      <c r="D162" s="237" t="s">
        <v>3413</v>
      </c>
      <c r="E162" s="243">
        <v>260015090</v>
      </c>
    </row>
    <row r="163" spans="2:5" ht="15" x14ac:dyDescent="0.2">
      <c r="B163" s="237">
        <f t="shared" si="2"/>
        <v>159</v>
      </c>
      <c r="C163" s="237" t="s">
        <v>193</v>
      </c>
      <c r="D163" s="237" t="s">
        <v>3413</v>
      </c>
      <c r="E163" s="243">
        <v>257694172</v>
      </c>
    </row>
    <row r="164" spans="2:5" ht="15" x14ac:dyDescent="0.2">
      <c r="B164" s="237">
        <f t="shared" si="2"/>
        <v>160</v>
      </c>
      <c r="C164" s="237" t="s">
        <v>3435</v>
      </c>
      <c r="D164" s="237" t="s">
        <v>3413</v>
      </c>
      <c r="E164" s="243">
        <v>254774516</v>
      </c>
    </row>
    <row r="165" spans="2:5" ht="15" x14ac:dyDescent="0.2">
      <c r="B165" s="237">
        <f t="shared" si="2"/>
        <v>161</v>
      </c>
      <c r="C165" s="237" t="s">
        <v>207</v>
      </c>
      <c r="D165" s="237" t="s">
        <v>3413</v>
      </c>
      <c r="E165" s="243">
        <v>251270034</v>
      </c>
    </row>
    <row r="166" spans="2:5" ht="15" x14ac:dyDescent="0.2">
      <c r="B166" s="237">
        <f t="shared" si="2"/>
        <v>162</v>
      </c>
      <c r="C166" s="237" t="s">
        <v>192</v>
      </c>
      <c r="D166" s="237" t="s">
        <v>3413</v>
      </c>
      <c r="E166" s="243">
        <v>249097183</v>
      </c>
    </row>
    <row r="167" spans="2:5" ht="15" x14ac:dyDescent="0.2">
      <c r="B167" s="237">
        <f t="shared" si="2"/>
        <v>163</v>
      </c>
      <c r="C167" s="237" t="s">
        <v>181</v>
      </c>
      <c r="D167" s="237" t="s">
        <v>3413</v>
      </c>
      <c r="E167" s="243">
        <v>243407126</v>
      </c>
    </row>
    <row r="168" spans="2:5" ht="15" x14ac:dyDescent="0.2">
      <c r="B168" s="237">
        <f t="shared" si="2"/>
        <v>164</v>
      </c>
      <c r="C168" s="237" t="s">
        <v>210</v>
      </c>
      <c r="D168" s="237" t="s">
        <v>3413</v>
      </c>
      <c r="E168" s="243">
        <v>233788320</v>
      </c>
    </row>
    <row r="169" spans="2:5" ht="15" x14ac:dyDescent="0.2">
      <c r="B169" s="237">
        <f t="shared" si="2"/>
        <v>165</v>
      </c>
      <c r="C169" s="237" t="s">
        <v>197</v>
      </c>
      <c r="D169" s="237" t="s">
        <v>3413</v>
      </c>
      <c r="E169" s="243">
        <v>226292803</v>
      </c>
    </row>
    <row r="170" spans="2:5" ht="15" x14ac:dyDescent="0.2">
      <c r="B170" s="237">
        <f t="shared" si="2"/>
        <v>166</v>
      </c>
      <c r="C170" s="237" t="s">
        <v>190</v>
      </c>
      <c r="D170" s="237" t="s">
        <v>3413</v>
      </c>
      <c r="E170" s="243">
        <v>221900885</v>
      </c>
    </row>
    <row r="171" spans="2:5" ht="15" x14ac:dyDescent="0.2">
      <c r="B171" s="237">
        <f t="shared" si="2"/>
        <v>167</v>
      </c>
      <c r="C171" s="237" t="s">
        <v>215</v>
      </c>
      <c r="D171" s="237" t="s">
        <v>3413</v>
      </c>
      <c r="E171" s="243">
        <v>221197884</v>
      </c>
    </row>
    <row r="172" spans="2:5" ht="15" x14ac:dyDescent="0.2">
      <c r="B172" s="237">
        <f t="shared" si="2"/>
        <v>168</v>
      </c>
      <c r="C172" s="237" t="s">
        <v>198</v>
      </c>
      <c r="D172" s="237" t="s">
        <v>3413</v>
      </c>
      <c r="E172" s="243">
        <v>219669127</v>
      </c>
    </row>
    <row r="173" spans="2:5" ht="15" x14ac:dyDescent="0.2">
      <c r="B173" s="237">
        <f t="shared" si="2"/>
        <v>169</v>
      </c>
      <c r="C173" s="237" t="s">
        <v>199</v>
      </c>
      <c r="D173" s="237" t="s">
        <v>3413</v>
      </c>
      <c r="E173" s="243">
        <v>218531211</v>
      </c>
    </row>
    <row r="174" spans="2:5" ht="15" x14ac:dyDescent="0.2">
      <c r="B174" s="237">
        <f t="shared" si="2"/>
        <v>170</v>
      </c>
      <c r="C174" s="237" t="s">
        <v>631</v>
      </c>
      <c r="D174" s="237" t="s">
        <v>3414</v>
      </c>
      <c r="E174" s="243">
        <v>203080467</v>
      </c>
    </row>
    <row r="175" spans="2:5" ht="15" x14ac:dyDescent="0.2">
      <c r="B175" s="237">
        <f t="shared" si="2"/>
        <v>171</v>
      </c>
      <c r="C175" s="237" t="s">
        <v>202</v>
      </c>
      <c r="D175" s="237" t="s">
        <v>3413</v>
      </c>
      <c r="E175" s="243">
        <v>201153799</v>
      </c>
    </row>
    <row r="176" spans="2:5" ht="15" x14ac:dyDescent="0.2">
      <c r="B176" s="237">
        <f t="shared" si="2"/>
        <v>172</v>
      </c>
      <c r="C176" s="237" t="s">
        <v>237</v>
      </c>
      <c r="D176" s="237" t="s">
        <v>3413</v>
      </c>
      <c r="E176" s="243">
        <v>200652691</v>
      </c>
    </row>
    <row r="177" spans="2:5" ht="15" x14ac:dyDescent="0.2">
      <c r="B177" s="237">
        <f t="shared" si="2"/>
        <v>173</v>
      </c>
      <c r="C177" s="237" t="s">
        <v>206</v>
      </c>
      <c r="D177" s="237" t="s">
        <v>3413</v>
      </c>
      <c r="E177" s="243">
        <v>194758940</v>
      </c>
    </row>
    <row r="178" spans="2:5" ht="15" x14ac:dyDescent="0.2">
      <c r="B178" s="237">
        <f t="shared" si="2"/>
        <v>174</v>
      </c>
      <c r="C178" s="237" t="s">
        <v>222</v>
      </c>
      <c r="D178" s="237" t="s">
        <v>3413</v>
      </c>
      <c r="E178" s="243">
        <v>192282481</v>
      </c>
    </row>
    <row r="179" spans="2:5" ht="15" x14ac:dyDescent="0.2">
      <c r="B179" s="237">
        <f t="shared" si="2"/>
        <v>175</v>
      </c>
      <c r="C179" s="237" t="s">
        <v>208</v>
      </c>
      <c r="D179" s="237" t="s">
        <v>3413</v>
      </c>
      <c r="E179" s="243">
        <v>189395908</v>
      </c>
    </row>
    <row r="180" spans="2:5" ht="15" x14ac:dyDescent="0.2">
      <c r="B180" s="237">
        <f t="shared" si="2"/>
        <v>176</v>
      </c>
      <c r="C180" s="237" t="s">
        <v>241</v>
      </c>
      <c r="D180" s="237" t="s">
        <v>3413</v>
      </c>
      <c r="E180" s="243">
        <v>187214431</v>
      </c>
    </row>
    <row r="181" spans="2:5" ht="15" x14ac:dyDescent="0.2">
      <c r="B181" s="237">
        <f t="shared" si="2"/>
        <v>177</v>
      </c>
      <c r="C181" s="237" t="s">
        <v>209</v>
      </c>
      <c r="D181" s="237" t="s">
        <v>3413</v>
      </c>
      <c r="E181" s="243">
        <v>186797933</v>
      </c>
    </row>
    <row r="182" spans="2:5" ht="15" x14ac:dyDescent="0.2">
      <c r="B182" s="237">
        <f t="shared" si="2"/>
        <v>178</v>
      </c>
      <c r="C182" s="237" t="s">
        <v>3436</v>
      </c>
      <c r="D182" s="237" t="s">
        <v>3413</v>
      </c>
      <c r="E182" s="243">
        <v>185474761</v>
      </c>
    </row>
    <row r="183" spans="2:5" ht="15" x14ac:dyDescent="0.2">
      <c r="B183" s="237">
        <f t="shared" si="2"/>
        <v>179</v>
      </c>
      <c r="C183" s="237" t="s">
        <v>227</v>
      </c>
      <c r="D183" s="237" t="s">
        <v>3413</v>
      </c>
      <c r="E183" s="243">
        <v>184491901</v>
      </c>
    </row>
    <row r="184" spans="2:5" ht="15" x14ac:dyDescent="0.2">
      <c r="B184" s="237">
        <f t="shared" si="2"/>
        <v>180</v>
      </c>
      <c r="C184" s="237" t="s">
        <v>170</v>
      </c>
      <c r="D184" s="237" t="s">
        <v>3413</v>
      </c>
      <c r="E184" s="243">
        <v>183450940</v>
      </c>
    </row>
    <row r="185" spans="2:5" ht="15" x14ac:dyDescent="0.2">
      <c r="B185" s="237">
        <f t="shared" si="2"/>
        <v>181</v>
      </c>
      <c r="C185" s="237" t="s">
        <v>175</v>
      </c>
      <c r="D185" s="237" t="s">
        <v>3413</v>
      </c>
      <c r="E185" s="243">
        <v>181727343</v>
      </c>
    </row>
    <row r="186" spans="2:5" ht="15" x14ac:dyDescent="0.2">
      <c r="B186" s="237">
        <f t="shared" si="2"/>
        <v>182</v>
      </c>
      <c r="C186" s="237" t="s">
        <v>229</v>
      </c>
      <c r="D186" s="237" t="s">
        <v>3413</v>
      </c>
      <c r="E186" s="243">
        <v>180756341</v>
      </c>
    </row>
    <row r="187" spans="2:5" ht="15" x14ac:dyDescent="0.2">
      <c r="B187" s="237">
        <f t="shared" si="2"/>
        <v>183</v>
      </c>
      <c r="C187" s="237" t="s">
        <v>183</v>
      </c>
      <c r="D187" s="237" t="s">
        <v>3413</v>
      </c>
      <c r="E187" s="243">
        <v>177361487</v>
      </c>
    </row>
    <row r="188" spans="2:5" ht="15" x14ac:dyDescent="0.2">
      <c r="B188" s="237">
        <f t="shared" si="2"/>
        <v>184</v>
      </c>
      <c r="C188" s="237" t="s">
        <v>3437</v>
      </c>
      <c r="D188" s="237" t="s">
        <v>3413</v>
      </c>
      <c r="E188" s="243">
        <v>177091327</v>
      </c>
    </row>
    <row r="189" spans="2:5" ht="15" x14ac:dyDescent="0.2">
      <c r="B189" s="237">
        <f t="shared" si="2"/>
        <v>185</v>
      </c>
      <c r="C189" s="237" t="s">
        <v>656</v>
      </c>
      <c r="D189" s="237" t="s">
        <v>3413</v>
      </c>
      <c r="E189" s="243">
        <v>176797963</v>
      </c>
    </row>
    <row r="190" spans="2:5" ht="15" x14ac:dyDescent="0.2">
      <c r="B190" s="237">
        <f t="shared" si="2"/>
        <v>186</v>
      </c>
      <c r="C190" s="237" t="s">
        <v>213</v>
      </c>
      <c r="D190" s="237" t="s">
        <v>3413</v>
      </c>
      <c r="E190" s="243">
        <v>175108490</v>
      </c>
    </row>
    <row r="191" spans="2:5" ht="15" x14ac:dyDescent="0.2">
      <c r="B191" s="237">
        <f t="shared" si="2"/>
        <v>187</v>
      </c>
      <c r="C191" s="237" t="s">
        <v>3438</v>
      </c>
      <c r="D191" s="237" t="s">
        <v>3413</v>
      </c>
      <c r="E191" s="243">
        <v>172630988</v>
      </c>
    </row>
    <row r="192" spans="2:5" ht="15" x14ac:dyDescent="0.2">
      <c r="B192" s="237">
        <f t="shared" si="2"/>
        <v>188</v>
      </c>
      <c r="C192" s="237" t="s">
        <v>214</v>
      </c>
      <c r="D192" s="237" t="s">
        <v>3413</v>
      </c>
      <c r="E192" s="243">
        <v>170872963</v>
      </c>
    </row>
    <row r="193" spans="2:5" ht="15" x14ac:dyDescent="0.2">
      <c r="B193" s="237">
        <f t="shared" si="2"/>
        <v>189</v>
      </c>
      <c r="C193" s="237" t="s">
        <v>212</v>
      </c>
      <c r="D193" s="237" t="s">
        <v>3413</v>
      </c>
      <c r="E193" s="243">
        <v>168328758</v>
      </c>
    </row>
    <row r="194" spans="2:5" ht="15" x14ac:dyDescent="0.2">
      <c r="B194" s="237">
        <f t="shared" si="2"/>
        <v>190</v>
      </c>
      <c r="C194" s="237" t="s">
        <v>240</v>
      </c>
      <c r="D194" s="237" t="s">
        <v>3413</v>
      </c>
      <c r="E194" s="243">
        <v>167394919</v>
      </c>
    </row>
    <row r="195" spans="2:5" ht="15" x14ac:dyDescent="0.2">
      <c r="B195" s="237">
        <f t="shared" si="2"/>
        <v>191</v>
      </c>
      <c r="C195" s="237" t="s">
        <v>228</v>
      </c>
      <c r="D195" s="237" t="s">
        <v>3413</v>
      </c>
      <c r="E195" s="243">
        <v>163982122</v>
      </c>
    </row>
    <row r="196" spans="2:5" ht="15" x14ac:dyDescent="0.2">
      <c r="B196" s="237">
        <f t="shared" si="2"/>
        <v>192</v>
      </c>
      <c r="C196" s="237" t="s">
        <v>196</v>
      </c>
      <c r="D196" s="237" t="s">
        <v>3413</v>
      </c>
      <c r="E196" s="243">
        <v>160745956</v>
      </c>
    </row>
    <row r="197" spans="2:5" ht="15" x14ac:dyDescent="0.2">
      <c r="B197" s="237">
        <f t="shared" si="2"/>
        <v>193</v>
      </c>
      <c r="C197" s="237" t="s">
        <v>204</v>
      </c>
      <c r="D197" s="237" t="s">
        <v>3413</v>
      </c>
      <c r="E197" s="243">
        <v>159568676</v>
      </c>
    </row>
    <row r="198" spans="2:5" ht="15" x14ac:dyDescent="0.2">
      <c r="B198" s="237">
        <f t="shared" ref="B198:B261" si="3">B197+1</f>
        <v>194</v>
      </c>
      <c r="C198" s="237" t="s">
        <v>235</v>
      </c>
      <c r="D198" s="237" t="s">
        <v>3413</v>
      </c>
      <c r="E198" s="243">
        <v>158959469</v>
      </c>
    </row>
    <row r="199" spans="2:5" ht="15" x14ac:dyDescent="0.2">
      <c r="B199" s="237">
        <f t="shared" si="3"/>
        <v>195</v>
      </c>
      <c r="C199" s="237" t="s">
        <v>217</v>
      </c>
      <c r="D199" s="237" t="s">
        <v>3413</v>
      </c>
      <c r="E199" s="243">
        <v>156205747</v>
      </c>
    </row>
    <row r="200" spans="2:5" ht="15" x14ac:dyDescent="0.2">
      <c r="B200" s="237">
        <f t="shared" si="3"/>
        <v>196</v>
      </c>
      <c r="C200" s="237" t="s">
        <v>632</v>
      </c>
      <c r="D200" s="237" t="s">
        <v>3414</v>
      </c>
      <c r="E200" s="243">
        <v>155408638</v>
      </c>
    </row>
    <row r="201" spans="2:5" ht="15" x14ac:dyDescent="0.2">
      <c r="B201" s="237">
        <f t="shared" si="3"/>
        <v>197</v>
      </c>
      <c r="C201" s="237" t="s">
        <v>220</v>
      </c>
      <c r="D201" s="237" t="s">
        <v>3413</v>
      </c>
      <c r="E201" s="243">
        <v>152700000</v>
      </c>
    </row>
    <row r="202" spans="2:5" ht="15" x14ac:dyDescent="0.2">
      <c r="B202" s="237">
        <f t="shared" si="3"/>
        <v>198</v>
      </c>
      <c r="C202" s="237" t="s">
        <v>221</v>
      </c>
      <c r="D202" s="237" t="s">
        <v>3413</v>
      </c>
      <c r="E202" s="243">
        <v>150659973</v>
      </c>
    </row>
    <row r="203" spans="2:5" ht="15" x14ac:dyDescent="0.2">
      <c r="B203" s="237">
        <f t="shared" si="3"/>
        <v>199</v>
      </c>
      <c r="C203" s="237" t="s">
        <v>191</v>
      </c>
      <c r="D203" s="237" t="s">
        <v>3413</v>
      </c>
      <c r="E203" s="243">
        <v>149060788</v>
      </c>
    </row>
    <row r="204" spans="2:5" ht="15" x14ac:dyDescent="0.2">
      <c r="B204" s="237">
        <f t="shared" si="3"/>
        <v>200</v>
      </c>
      <c r="C204" s="237" t="s">
        <v>243</v>
      </c>
      <c r="D204" s="237" t="s">
        <v>3413</v>
      </c>
      <c r="E204" s="243">
        <v>148622592</v>
      </c>
    </row>
    <row r="205" spans="2:5" ht="15" x14ac:dyDescent="0.2">
      <c r="B205" s="237">
        <f t="shared" si="3"/>
        <v>201</v>
      </c>
      <c r="C205" s="237" t="s">
        <v>3439</v>
      </c>
      <c r="D205" s="237" t="s">
        <v>3413</v>
      </c>
      <c r="E205" s="243">
        <v>146984215</v>
      </c>
    </row>
    <row r="206" spans="2:5" ht="15" x14ac:dyDescent="0.2">
      <c r="B206" s="237">
        <f t="shared" si="3"/>
        <v>202</v>
      </c>
      <c r="C206" s="237" t="s">
        <v>231</v>
      </c>
      <c r="D206" s="237" t="s">
        <v>3413</v>
      </c>
      <c r="E206" s="243">
        <v>145983107</v>
      </c>
    </row>
    <row r="207" spans="2:5" ht="15" x14ac:dyDescent="0.2">
      <c r="B207" s="237">
        <f t="shared" si="3"/>
        <v>203</v>
      </c>
      <c r="C207" s="237" t="s">
        <v>226</v>
      </c>
      <c r="D207" s="237" t="s">
        <v>3413</v>
      </c>
      <c r="E207" s="243">
        <v>144226576</v>
      </c>
    </row>
    <row r="208" spans="2:5" ht="15" x14ac:dyDescent="0.2">
      <c r="B208" s="237">
        <f t="shared" si="3"/>
        <v>204</v>
      </c>
      <c r="C208" s="237" t="s">
        <v>246</v>
      </c>
      <c r="D208" s="237" t="s">
        <v>3413</v>
      </c>
      <c r="E208" s="243">
        <v>143806140</v>
      </c>
    </row>
    <row r="209" spans="2:5" ht="15" x14ac:dyDescent="0.2">
      <c r="B209" s="237">
        <f t="shared" si="3"/>
        <v>205</v>
      </c>
      <c r="C209" s="237" t="s">
        <v>3440</v>
      </c>
      <c r="D209" s="237" t="s">
        <v>3413</v>
      </c>
      <c r="E209" s="243">
        <v>143386553</v>
      </c>
    </row>
    <row r="210" spans="2:5" ht="15" x14ac:dyDescent="0.2">
      <c r="B210" s="237">
        <f t="shared" si="3"/>
        <v>206</v>
      </c>
      <c r="C210" s="237" t="s">
        <v>3441</v>
      </c>
      <c r="D210" s="237" t="s">
        <v>3413</v>
      </c>
      <c r="E210" s="243">
        <v>142593980</v>
      </c>
    </row>
    <row r="211" spans="2:5" ht="15" x14ac:dyDescent="0.2">
      <c r="B211" s="237">
        <f t="shared" si="3"/>
        <v>207</v>
      </c>
      <c r="C211" s="237" t="s">
        <v>3442</v>
      </c>
      <c r="D211" s="237" t="s">
        <v>3413</v>
      </c>
      <c r="E211" s="243">
        <v>141590604</v>
      </c>
    </row>
    <row r="212" spans="2:5" ht="15" x14ac:dyDescent="0.2">
      <c r="B212" s="237">
        <f t="shared" si="3"/>
        <v>208</v>
      </c>
      <c r="C212" s="237" t="s">
        <v>216</v>
      </c>
      <c r="D212" s="237" t="s">
        <v>3413</v>
      </c>
      <c r="E212" s="243">
        <v>137317477</v>
      </c>
    </row>
    <row r="213" spans="2:5" ht="15" x14ac:dyDescent="0.2">
      <c r="B213" s="237">
        <f t="shared" si="3"/>
        <v>209</v>
      </c>
      <c r="C213" s="237" t="s">
        <v>117</v>
      </c>
      <c r="D213" s="237" t="s">
        <v>3413</v>
      </c>
      <c r="E213" s="243">
        <v>130342598</v>
      </c>
    </row>
    <row r="214" spans="2:5" ht="15" x14ac:dyDescent="0.2">
      <c r="B214" s="237">
        <f t="shared" si="3"/>
        <v>210</v>
      </c>
      <c r="C214" s="237" t="s">
        <v>256</v>
      </c>
      <c r="D214" s="237" t="s">
        <v>3413</v>
      </c>
      <c r="E214" s="243">
        <v>130024468</v>
      </c>
    </row>
    <row r="215" spans="2:5" ht="15" x14ac:dyDescent="0.2">
      <c r="B215" s="237">
        <f t="shared" si="3"/>
        <v>211</v>
      </c>
      <c r="C215" s="237" t="s">
        <v>173</v>
      </c>
      <c r="D215" s="237" t="s">
        <v>3413</v>
      </c>
      <c r="E215" s="243">
        <v>129692953</v>
      </c>
    </row>
    <row r="216" spans="2:5" ht="15" x14ac:dyDescent="0.2">
      <c r="B216" s="237">
        <f t="shared" si="3"/>
        <v>212</v>
      </c>
      <c r="C216" s="237" t="s">
        <v>255</v>
      </c>
      <c r="D216" s="237" t="s">
        <v>3413</v>
      </c>
      <c r="E216" s="243">
        <v>127062175</v>
      </c>
    </row>
    <row r="217" spans="2:5" ht="15" x14ac:dyDescent="0.2">
      <c r="B217" s="237">
        <f t="shared" si="3"/>
        <v>213</v>
      </c>
      <c r="C217" s="237" t="s">
        <v>233</v>
      </c>
      <c r="D217" s="237" t="s">
        <v>3413</v>
      </c>
      <c r="E217" s="243">
        <v>123056312</v>
      </c>
    </row>
    <row r="218" spans="2:5" ht="15" x14ac:dyDescent="0.2">
      <c r="B218" s="237">
        <f t="shared" si="3"/>
        <v>214</v>
      </c>
      <c r="C218" s="237" t="s">
        <v>259</v>
      </c>
      <c r="D218" s="237" t="s">
        <v>3413</v>
      </c>
      <c r="E218" s="243">
        <v>121366008</v>
      </c>
    </row>
    <row r="219" spans="2:5" ht="15" x14ac:dyDescent="0.2">
      <c r="B219" s="237">
        <f t="shared" si="3"/>
        <v>215</v>
      </c>
      <c r="C219" s="237" t="s">
        <v>236</v>
      </c>
      <c r="D219" s="237" t="s">
        <v>3413</v>
      </c>
      <c r="E219" s="243">
        <v>121010000</v>
      </c>
    </row>
    <row r="220" spans="2:5" ht="15" x14ac:dyDescent="0.2">
      <c r="B220" s="237">
        <f t="shared" si="3"/>
        <v>216</v>
      </c>
      <c r="C220" s="237" t="s">
        <v>234</v>
      </c>
      <c r="D220" s="237" t="s">
        <v>3413</v>
      </c>
      <c r="E220" s="243">
        <v>118600046</v>
      </c>
    </row>
    <row r="221" spans="2:5" ht="15" x14ac:dyDescent="0.2">
      <c r="B221" s="237">
        <f t="shared" si="3"/>
        <v>217</v>
      </c>
      <c r="C221" s="237" t="s">
        <v>239</v>
      </c>
      <c r="D221" s="237" t="s">
        <v>3413</v>
      </c>
      <c r="E221" s="243">
        <v>117873752</v>
      </c>
    </row>
    <row r="222" spans="2:5" ht="15" x14ac:dyDescent="0.2">
      <c r="B222" s="237">
        <f t="shared" si="3"/>
        <v>218</v>
      </c>
      <c r="C222" s="237" t="s">
        <v>238</v>
      </c>
      <c r="D222" s="237" t="s">
        <v>3413</v>
      </c>
      <c r="E222" s="243">
        <v>113875678</v>
      </c>
    </row>
    <row r="223" spans="2:5" ht="15" x14ac:dyDescent="0.2">
      <c r="B223" s="237">
        <f t="shared" si="3"/>
        <v>219</v>
      </c>
      <c r="C223" s="237" t="s">
        <v>247</v>
      </c>
      <c r="D223" s="237" t="s">
        <v>3413</v>
      </c>
      <c r="E223" s="243">
        <v>109641961</v>
      </c>
    </row>
    <row r="224" spans="2:5" ht="15" x14ac:dyDescent="0.2">
      <c r="B224" s="237">
        <f t="shared" si="3"/>
        <v>220</v>
      </c>
      <c r="C224" s="237" t="s">
        <v>275</v>
      </c>
      <c r="D224" s="237" t="s">
        <v>3413</v>
      </c>
      <c r="E224" s="243">
        <v>109099291</v>
      </c>
    </row>
    <row r="225" spans="2:5" ht="15" x14ac:dyDescent="0.2">
      <c r="B225" s="237">
        <f t="shared" si="3"/>
        <v>221</v>
      </c>
      <c r="C225" s="237" t="s">
        <v>3443</v>
      </c>
      <c r="D225" s="237" t="s">
        <v>3413</v>
      </c>
      <c r="E225" s="243">
        <v>108974200</v>
      </c>
    </row>
    <row r="226" spans="2:5" ht="15" x14ac:dyDescent="0.2">
      <c r="B226" s="237">
        <f t="shared" si="3"/>
        <v>222</v>
      </c>
      <c r="C226" s="237" t="s">
        <v>245</v>
      </c>
      <c r="D226" s="237" t="s">
        <v>3413</v>
      </c>
      <c r="E226" s="243">
        <v>108295721</v>
      </c>
    </row>
    <row r="227" spans="2:5" ht="15" x14ac:dyDescent="0.2">
      <c r="B227" s="237">
        <f t="shared" si="3"/>
        <v>223</v>
      </c>
      <c r="C227" s="237" t="s">
        <v>219</v>
      </c>
      <c r="D227" s="237" t="s">
        <v>3413</v>
      </c>
      <c r="E227" s="243">
        <v>107336569</v>
      </c>
    </row>
    <row r="228" spans="2:5" ht="15" x14ac:dyDescent="0.2">
      <c r="B228" s="237">
        <f t="shared" si="3"/>
        <v>224</v>
      </c>
      <c r="C228" s="237" t="s">
        <v>248</v>
      </c>
      <c r="D228" s="237" t="s">
        <v>3413</v>
      </c>
      <c r="E228" s="243">
        <v>107050000</v>
      </c>
    </row>
    <row r="229" spans="2:5" ht="15" x14ac:dyDescent="0.2">
      <c r="B229" s="237">
        <f t="shared" si="3"/>
        <v>225</v>
      </c>
      <c r="C229" s="237" t="s">
        <v>223</v>
      </c>
      <c r="D229" s="237" t="s">
        <v>3413</v>
      </c>
      <c r="E229" s="243">
        <v>105711273</v>
      </c>
    </row>
    <row r="230" spans="2:5" ht="15" x14ac:dyDescent="0.2">
      <c r="B230" s="237">
        <f t="shared" si="3"/>
        <v>226</v>
      </c>
      <c r="C230" s="237" t="s">
        <v>249</v>
      </c>
      <c r="D230" s="237" t="s">
        <v>3413</v>
      </c>
      <c r="E230" s="243">
        <v>105248233</v>
      </c>
    </row>
    <row r="231" spans="2:5" ht="15" x14ac:dyDescent="0.2">
      <c r="B231" s="237">
        <f t="shared" si="3"/>
        <v>227</v>
      </c>
      <c r="C231" s="237" t="s">
        <v>250</v>
      </c>
      <c r="D231" s="237" t="s">
        <v>3413</v>
      </c>
      <c r="E231" s="243">
        <v>104938518</v>
      </c>
    </row>
    <row r="232" spans="2:5" ht="15" x14ac:dyDescent="0.2">
      <c r="B232" s="237">
        <f t="shared" si="3"/>
        <v>228</v>
      </c>
      <c r="C232" s="237" t="s">
        <v>251</v>
      </c>
      <c r="D232" s="237" t="s">
        <v>3413</v>
      </c>
      <c r="E232" s="243">
        <v>103188552</v>
      </c>
    </row>
    <row r="233" spans="2:5" ht="15" x14ac:dyDescent="0.2">
      <c r="B233" s="237">
        <f t="shared" si="3"/>
        <v>229</v>
      </c>
      <c r="C233" s="237" t="s">
        <v>195</v>
      </c>
      <c r="D233" s="237" t="s">
        <v>3413</v>
      </c>
      <c r="E233" s="243">
        <v>102354725</v>
      </c>
    </row>
    <row r="234" spans="2:5" ht="15" x14ac:dyDescent="0.2">
      <c r="B234" s="237">
        <f t="shared" si="3"/>
        <v>230</v>
      </c>
      <c r="C234" s="237" t="s">
        <v>633</v>
      </c>
      <c r="D234" s="237" t="s">
        <v>3414</v>
      </c>
      <c r="E234" s="243">
        <v>98090097</v>
      </c>
    </row>
    <row r="235" spans="2:5" ht="15" x14ac:dyDescent="0.2">
      <c r="B235" s="237">
        <f t="shared" si="3"/>
        <v>231</v>
      </c>
      <c r="C235" s="237" t="s">
        <v>3444</v>
      </c>
      <c r="D235" s="237" t="s">
        <v>3413</v>
      </c>
      <c r="E235" s="243">
        <v>96800120</v>
      </c>
    </row>
    <row r="236" spans="2:5" ht="15" x14ac:dyDescent="0.2">
      <c r="B236" s="237">
        <f t="shared" si="3"/>
        <v>232</v>
      </c>
      <c r="C236" s="237" t="s">
        <v>274</v>
      </c>
      <c r="D236" s="237" t="s">
        <v>3413</v>
      </c>
      <c r="E236" s="243">
        <v>95287935</v>
      </c>
    </row>
    <row r="237" spans="2:5" ht="15" x14ac:dyDescent="0.2">
      <c r="B237" s="237">
        <f t="shared" si="3"/>
        <v>233</v>
      </c>
      <c r="C237" s="237" t="s">
        <v>277</v>
      </c>
      <c r="D237" s="237" t="s">
        <v>3413</v>
      </c>
      <c r="E237" s="243">
        <v>93653422</v>
      </c>
    </row>
    <row r="238" spans="2:5" ht="15" x14ac:dyDescent="0.2">
      <c r="B238" s="237">
        <f t="shared" si="3"/>
        <v>234</v>
      </c>
      <c r="C238" s="237" t="s">
        <v>258</v>
      </c>
      <c r="D238" s="237" t="s">
        <v>3413</v>
      </c>
      <c r="E238" s="243">
        <v>93450376</v>
      </c>
    </row>
    <row r="239" spans="2:5" ht="15" x14ac:dyDescent="0.2">
      <c r="B239" s="237">
        <f t="shared" si="3"/>
        <v>235</v>
      </c>
      <c r="C239" s="237" t="s">
        <v>278</v>
      </c>
      <c r="D239" s="237" t="s">
        <v>3413</v>
      </c>
      <c r="E239" s="243">
        <v>93020255</v>
      </c>
    </row>
    <row r="240" spans="2:5" ht="15" x14ac:dyDescent="0.2">
      <c r="B240" s="237">
        <f t="shared" si="3"/>
        <v>236</v>
      </c>
      <c r="C240" s="237" t="s">
        <v>260</v>
      </c>
      <c r="D240" s="237" t="s">
        <v>3413</v>
      </c>
      <c r="E240" s="243">
        <v>92269475</v>
      </c>
    </row>
    <row r="241" spans="2:5" ht="15" x14ac:dyDescent="0.2">
      <c r="B241" s="237">
        <f t="shared" si="3"/>
        <v>237</v>
      </c>
      <c r="C241" s="237" t="s">
        <v>261</v>
      </c>
      <c r="D241" s="237" t="s">
        <v>3413</v>
      </c>
      <c r="E241" s="243">
        <v>92231118</v>
      </c>
    </row>
    <row r="242" spans="2:5" ht="15" x14ac:dyDescent="0.2">
      <c r="B242" s="237">
        <f t="shared" si="3"/>
        <v>238</v>
      </c>
      <c r="C242" s="237" t="s">
        <v>281</v>
      </c>
      <c r="D242" s="237" t="s">
        <v>3413</v>
      </c>
      <c r="E242" s="243">
        <v>92158969</v>
      </c>
    </row>
    <row r="243" spans="2:5" ht="15" x14ac:dyDescent="0.2">
      <c r="B243" s="237">
        <f t="shared" si="3"/>
        <v>239</v>
      </c>
      <c r="C243" s="237" t="s">
        <v>3445</v>
      </c>
      <c r="D243" s="237" t="s">
        <v>3413</v>
      </c>
      <c r="E243" s="243">
        <v>91460827</v>
      </c>
    </row>
    <row r="244" spans="2:5" ht="15" x14ac:dyDescent="0.2">
      <c r="B244" s="237">
        <f t="shared" si="3"/>
        <v>240</v>
      </c>
      <c r="C244" s="237" t="s">
        <v>657</v>
      </c>
      <c r="D244" s="237" t="s">
        <v>3413</v>
      </c>
      <c r="E244" s="243">
        <v>90876720</v>
      </c>
    </row>
    <row r="245" spans="2:5" ht="15" x14ac:dyDescent="0.2">
      <c r="B245" s="237">
        <f t="shared" si="3"/>
        <v>241</v>
      </c>
      <c r="C245" s="237" t="s">
        <v>282</v>
      </c>
      <c r="D245" s="237" t="s">
        <v>3413</v>
      </c>
      <c r="E245" s="243">
        <v>88975275</v>
      </c>
    </row>
    <row r="246" spans="2:5" ht="15" x14ac:dyDescent="0.2">
      <c r="B246" s="237">
        <f t="shared" si="3"/>
        <v>242</v>
      </c>
      <c r="C246" s="237" t="s">
        <v>257</v>
      </c>
      <c r="D246" s="237" t="s">
        <v>3413</v>
      </c>
      <c r="E246" s="243">
        <v>88500000</v>
      </c>
    </row>
    <row r="247" spans="2:5" ht="15" x14ac:dyDescent="0.2">
      <c r="B247" s="237">
        <f t="shared" si="3"/>
        <v>243</v>
      </c>
      <c r="C247" s="237" t="s">
        <v>3446</v>
      </c>
      <c r="D247" s="237" t="s">
        <v>3413</v>
      </c>
      <c r="E247" s="243">
        <v>87150275</v>
      </c>
    </row>
    <row r="248" spans="2:5" ht="15" x14ac:dyDescent="0.2">
      <c r="B248" s="237">
        <f t="shared" si="3"/>
        <v>244</v>
      </c>
      <c r="C248" s="237" t="s">
        <v>3447</v>
      </c>
      <c r="D248" s="237" t="s">
        <v>3413</v>
      </c>
      <c r="E248" s="243">
        <v>86903854</v>
      </c>
    </row>
    <row r="249" spans="2:5" ht="15" x14ac:dyDescent="0.2">
      <c r="B249" s="237">
        <f t="shared" si="3"/>
        <v>245</v>
      </c>
      <c r="C249" s="237" t="s">
        <v>634</v>
      </c>
      <c r="D249" s="237" t="s">
        <v>3414</v>
      </c>
      <c r="E249" s="243">
        <v>86104449</v>
      </c>
    </row>
    <row r="250" spans="2:5" ht="15" x14ac:dyDescent="0.2">
      <c r="B250" s="237">
        <f t="shared" si="3"/>
        <v>246</v>
      </c>
      <c r="C250" s="237" t="s">
        <v>244</v>
      </c>
      <c r="D250" s="237" t="s">
        <v>3413</v>
      </c>
      <c r="E250" s="243">
        <v>83855195</v>
      </c>
    </row>
    <row r="251" spans="2:5" ht="15" x14ac:dyDescent="0.2">
      <c r="B251" s="237">
        <f t="shared" si="3"/>
        <v>247</v>
      </c>
      <c r="C251" s="237" t="s">
        <v>284</v>
      </c>
      <c r="D251" s="237" t="s">
        <v>3413</v>
      </c>
      <c r="E251" s="243">
        <v>82531223</v>
      </c>
    </row>
    <row r="252" spans="2:5" ht="15" x14ac:dyDescent="0.2">
      <c r="B252" s="237">
        <f t="shared" si="3"/>
        <v>248</v>
      </c>
      <c r="C252" s="237" t="s">
        <v>265</v>
      </c>
      <c r="D252" s="237" t="s">
        <v>3413</v>
      </c>
      <c r="E252" s="243">
        <v>82200000</v>
      </c>
    </row>
    <row r="253" spans="2:5" ht="15" x14ac:dyDescent="0.2">
      <c r="B253" s="237">
        <f t="shared" si="3"/>
        <v>249</v>
      </c>
      <c r="C253" s="237" t="s">
        <v>264</v>
      </c>
      <c r="D253" s="237" t="s">
        <v>3413</v>
      </c>
      <c r="E253" s="243">
        <v>81600000</v>
      </c>
    </row>
    <row r="254" spans="2:5" ht="15" x14ac:dyDescent="0.2">
      <c r="B254" s="237">
        <f t="shared" si="3"/>
        <v>250</v>
      </c>
      <c r="C254" s="237" t="s">
        <v>266</v>
      </c>
      <c r="D254" s="237" t="s">
        <v>3413</v>
      </c>
      <c r="E254" s="243">
        <v>80489892</v>
      </c>
    </row>
    <row r="255" spans="2:5" ht="15" x14ac:dyDescent="0.2">
      <c r="B255" s="237">
        <f t="shared" si="3"/>
        <v>251</v>
      </c>
      <c r="C255" s="237" t="s">
        <v>285</v>
      </c>
      <c r="D255" s="237" t="s">
        <v>3413</v>
      </c>
      <c r="E255" s="243">
        <v>79800130</v>
      </c>
    </row>
    <row r="256" spans="2:5" ht="15" x14ac:dyDescent="0.2">
      <c r="B256" s="237">
        <f t="shared" si="3"/>
        <v>252</v>
      </c>
      <c r="C256" s="237" t="s">
        <v>267</v>
      </c>
      <c r="D256" s="237" t="s">
        <v>3413</v>
      </c>
      <c r="E256" s="243">
        <v>79439041</v>
      </c>
    </row>
    <row r="257" spans="2:5" ht="15" x14ac:dyDescent="0.2">
      <c r="B257" s="237">
        <f t="shared" si="3"/>
        <v>253</v>
      </c>
      <c r="C257" s="237" t="s">
        <v>484</v>
      </c>
      <c r="D257" s="237" t="s">
        <v>3413</v>
      </c>
      <c r="E257" s="243">
        <v>78504572</v>
      </c>
    </row>
    <row r="258" spans="2:5" ht="15" x14ac:dyDescent="0.2">
      <c r="B258" s="237">
        <f t="shared" si="3"/>
        <v>254</v>
      </c>
      <c r="C258" s="237" t="s">
        <v>268</v>
      </c>
      <c r="D258" s="237" t="s">
        <v>3413</v>
      </c>
      <c r="E258" s="243">
        <v>78300000</v>
      </c>
    </row>
    <row r="259" spans="2:5" ht="15" x14ac:dyDescent="0.2">
      <c r="B259" s="237">
        <f t="shared" si="3"/>
        <v>255</v>
      </c>
      <c r="C259" s="237" t="s">
        <v>269</v>
      </c>
      <c r="D259" s="237" t="s">
        <v>3413</v>
      </c>
      <c r="E259" s="243">
        <v>78000000</v>
      </c>
    </row>
    <row r="260" spans="2:5" ht="15" x14ac:dyDescent="0.2">
      <c r="B260" s="237">
        <f t="shared" si="3"/>
        <v>256</v>
      </c>
      <c r="C260" s="237" t="s">
        <v>336</v>
      </c>
      <c r="D260" s="237" t="s">
        <v>3413</v>
      </c>
      <c r="E260" s="243">
        <v>77896582</v>
      </c>
    </row>
    <row r="261" spans="2:5" ht="15" x14ac:dyDescent="0.2">
      <c r="B261" s="237">
        <f t="shared" si="3"/>
        <v>257</v>
      </c>
      <c r="C261" s="237" t="s">
        <v>325</v>
      </c>
      <c r="D261" s="237" t="s">
        <v>3413</v>
      </c>
      <c r="E261" s="243">
        <v>77180288</v>
      </c>
    </row>
    <row r="262" spans="2:5" ht="15" x14ac:dyDescent="0.2">
      <c r="B262" s="237">
        <f t="shared" ref="B262:B325" si="4">B261+1</f>
        <v>258</v>
      </c>
      <c r="C262" s="237" t="s">
        <v>290</v>
      </c>
      <c r="D262" s="237" t="s">
        <v>3413</v>
      </c>
      <c r="E262" s="243">
        <v>77153448</v>
      </c>
    </row>
    <row r="263" spans="2:5" ht="15" x14ac:dyDescent="0.2">
      <c r="B263" s="237">
        <f t="shared" si="4"/>
        <v>259</v>
      </c>
      <c r="C263" s="237" t="s">
        <v>342</v>
      </c>
      <c r="D263" s="237" t="s">
        <v>3413</v>
      </c>
      <c r="E263" s="243">
        <v>76598322</v>
      </c>
    </row>
    <row r="264" spans="2:5" ht="15" x14ac:dyDescent="0.2">
      <c r="B264" s="237">
        <f t="shared" si="4"/>
        <v>260</v>
      </c>
      <c r="C264" s="237" t="s">
        <v>343</v>
      </c>
      <c r="D264" s="237" t="s">
        <v>3413</v>
      </c>
      <c r="E264" s="243">
        <v>76453636</v>
      </c>
    </row>
    <row r="265" spans="2:5" ht="15" x14ac:dyDescent="0.2">
      <c r="B265" s="237">
        <f t="shared" si="4"/>
        <v>261</v>
      </c>
      <c r="C265" s="237" t="s">
        <v>270</v>
      </c>
      <c r="D265" s="237" t="s">
        <v>3413</v>
      </c>
      <c r="E265" s="243">
        <v>76416745</v>
      </c>
    </row>
    <row r="266" spans="2:5" ht="15" x14ac:dyDescent="0.2">
      <c r="B266" s="237">
        <f t="shared" si="4"/>
        <v>262</v>
      </c>
      <c r="C266" s="237" t="s">
        <v>272</v>
      </c>
      <c r="D266" s="237" t="s">
        <v>3413</v>
      </c>
      <c r="E266" s="243">
        <v>75300000</v>
      </c>
    </row>
    <row r="267" spans="2:5" ht="15" x14ac:dyDescent="0.2">
      <c r="B267" s="237">
        <f t="shared" si="4"/>
        <v>263</v>
      </c>
      <c r="C267" s="237" t="s">
        <v>3448</v>
      </c>
      <c r="D267" s="237" t="s">
        <v>3413</v>
      </c>
      <c r="E267" s="243">
        <v>75000000</v>
      </c>
    </row>
    <row r="268" spans="2:5" ht="15" x14ac:dyDescent="0.2">
      <c r="B268" s="237">
        <f t="shared" si="4"/>
        <v>264</v>
      </c>
      <c r="C268" s="237" t="s">
        <v>273</v>
      </c>
      <c r="D268" s="237" t="s">
        <v>3413</v>
      </c>
      <c r="E268" s="243">
        <v>74999999</v>
      </c>
    </row>
    <row r="269" spans="2:5" ht="15" x14ac:dyDescent="0.2">
      <c r="B269" s="237">
        <f t="shared" si="4"/>
        <v>265</v>
      </c>
      <c r="C269" s="237" t="s">
        <v>344</v>
      </c>
      <c r="D269" s="237" t="s">
        <v>3413</v>
      </c>
      <c r="E269" s="243">
        <v>72997878.5</v>
      </c>
    </row>
    <row r="270" spans="2:5" ht="15" x14ac:dyDescent="0.2">
      <c r="B270" s="237">
        <f t="shared" si="4"/>
        <v>266</v>
      </c>
      <c r="C270" s="237" t="s">
        <v>3449</v>
      </c>
      <c r="D270" s="237" t="s">
        <v>3413</v>
      </c>
      <c r="E270" s="243">
        <v>72832275</v>
      </c>
    </row>
    <row r="271" spans="2:5" ht="15" x14ac:dyDescent="0.2">
      <c r="B271" s="237">
        <f t="shared" si="4"/>
        <v>267</v>
      </c>
      <c r="C271" s="237" t="s">
        <v>232</v>
      </c>
      <c r="D271" s="237" t="s">
        <v>3413</v>
      </c>
      <c r="E271" s="243">
        <v>72752582</v>
      </c>
    </row>
    <row r="272" spans="2:5" ht="15" x14ac:dyDescent="0.2">
      <c r="B272" s="237">
        <f t="shared" si="4"/>
        <v>268</v>
      </c>
      <c r="C272" s="237" t="s">
        <v>263</v>
      </c>
      <c r="D272" s="237" t="s">
        <v>3413</v>
      </c>
      <c r="E272" s="243">
        <v>72239825</v>
      </c>
    </row>
    <row r="273" spans="2:5" ht="15" x14ac:dyDescent="0.2">
      <c r="B273" s="237">
        <f t="shared" si="4"/>
        <v>269</v>
      </c>
      <c r="C273" s="237" t="s">
        <v>635</v>
      </c>
      <c r="D273" s="237" t="s">
        <v>3414</v>
      </c>
      <c r="E273" s="243">
        <v>72006466</v>
      </c>
    </row>
    <row r="274" spans="2:5" ht="15" x14ac:dyDescent="0.2">
      <c r="B274" s="237">
        <f t="shared" si="4"/>
        <v>270</v>
      </c>
      <c r="C274" s="237" t="s">
        <v>297</v>
      </c>
      <c r="D274" s="237" t="s">
        <v>3413</v>
      </c>
      <c r="E274" s="243">
        <v>70189630</v>
      </c>
    </row>
    <row r="275" spans="2:5" ht="15" x14ac:dyDescent="0.2">
      <c r="B275" s="237">
        <f t="shared" si="4"/>
        <v>271</v>
      </c>
      <c r="C275" s="237" t="s">
        <v>361</v>
      </c>
      <c r="D275" s="237" t="s">
        <v>3413</v>
      </c>
      <c r="E275" s="243">
        <v>69550113</v>
      </c>
    </row>
    <row r="276" spans="2:5" ht="15" x14ac:dyDescent="0.2">
      <c r="B276" s="237">
        <f t="shared" si="4"/>
        <v>272</v>
      </c>
      <c r="C276" s="237" t="s">
        <v>333</v>
      </c>
      <c r="D276" s="237" t="s">
        <v>3413</v>
      </c>
      <c r="E276" s="243">
        <v>66307560</v>
      </c>
    </row>
    <row r="277" spans="2:5" ht="15" x14ac:dyDescent="0.2">
      <c r="B277" s="237">
        <f t="shared" si="4"/>
        <v>273</v>
      </c>
      <c r="C277" s="237" t="s">
        <v>271</v>
      </c>
      <c r="D277" s="237" t="s">
        <v>3413</v>
      </c>
      <c r="E277" s="243">
        <v>65689500</v>
      </c>
    </row>
    <row r="278" spans="2:5" ht="15" x14ac:dyDescent="0.2">
      <c r="B278" s="237">
        <f t="shared" si="4"/>
        <v>274</v>
      </c>
      <c r="C278" s="237" t="s">
        <v>301</v>
      </c>
      <c r="D278" s="237" t="s">
        <v>3413</v>
      </c>
      <c r="E278" s="243">
        <v>65318849</v>
      </c>
    </row>
    <row r="279" spans="2:5" ht="15" x14ac:dyDescent="0.2">
      <c r="B279" s="237">
        <f t="shared" si="4"/>
        <v>275</v>
      </c>
      <c r="C279" s="237" t="s">
        <v>283</v>
      </c>
      <c r="D279" s="237" t="s">
        <v>3413</v>
      </c>
      <c r="E279" s="243">
        <v>64147050</v>
      </c>
    </row>
    <row r="280" spans="2:5" ht="15" x14ac:dyDescent="0.2">
      <c r="B280" s="237">
        <f t="shared" si="4"/>
        <v>276</v>
      </c>
      <c r="C280" s="237" t="s">
        <v>365</v>
      </c>
      <c r="D280" s="237" t="s">
        <v>3413</v>
      </c>
      <c r="E280" s="243">
        <v>64066883</v>
      </c>
    </row>
    <row r="281" spans="2:5" ht="15" x14ac:dyDescent="0.2">
      <c r="B281" s="237">
        <f t="shared" si="4"/>
        <v>277</v>
      </c>
      <c r="C281" s="237" t="s">
        <v>323</v>
      </c>
      <c r="D281" s="237" t="s">
        <v>3413</v>
      </c>
      <c r="E281" s="243">
        <v>63934848</v>
      </c>
    </row>
    <row r="282" spans="2:5" ht="15" x14ac:dyDescent="0.2">
      <c r="B282" s="237">
        <f t="shared" si="4"/>
        <v>278</v>
      </c>
      <c r="C282" s="237" t="s">
        <v>324</v>
      </c>
      <c r="D282" s="237" t="s">
        <v>3413</v>
      </c>
      <c r="E282" s="243">
        <v>63701907</v>
      </c>
    </row>
    <row r="283" spans="2:5" ht="15" x14ac:dyDescent="0.2">
      <c r="B283" s="237">
        <f t="shared" si="4"/>
        <v>279</v>
      </c>
      <c r="C283" s="237" t="s">
        <v>649</v>
      </c>
      <c r="D283" s="237" t="s">
        <v>3413</v>
      </c>
      <c r="E283" s="243">
        <v>60000000</v>
      </c>
    </row>
    <row r="284" spans="2:5" ht="15" x14ac:dyDescent="0.2">
      <c r="B284" s="237">
        <f t="shared" si="4"/>
        <v>280</v>
      </c>
      <c r="C284" s="237" t="s">
        <v>286</v>
      </c>
      <c r="D284" s="237" t="s">
        <v>3413</v>
      </c>
      <c r="E284" s="243">
        <v>59812096</v>
      </c>
    </row>
    <row r="285" spans="2:5" ht="15" x14ac:dyDescent="0.2">
      <c r="B285" s="237">
        <f t="shared" si="4"/>
        <v>281</v>
      </c>
      <c r="C285" s="237" t="s">
        <v>326</v>
      </c>
      <c r="D285" s="237" t="s">
        <v>3413</v>
      </c>
      <c r="E285" s="243">
        <v>59492795</v>
      </c>
    </row>
    <row r="286" spans="2:5" ht="15" x14ac:dyDescent="0.2">
      <c r="B286" s="237">
        <f t="shared" si="4"/>
        <v>282</v>
      </c>
      <c r="C286" s="237" t="s">
        <v>288</v>
      </c>
      <c r="D286" s="237" t="s">
        <v>3413</v>
      </c>
      <c r="E286" s="243">
        <v>58420731</v>
      </c>
    </row>
    <row r="287" spans="2:5" ht="15" x14ac:dyDescent="0.2">
      <c r="B287" s="237">
        <f t="shared" si="4"/>
        <v>283</v>
      </c>
      <c r="C287" s="237" t="s">
        <v>225</v>
      </c>
      <c r="D287" s="237" t="s">
        <v>3413</v>
      </c>
      <c r="E287" s="243">
        <v>58401581</v>
      </c>
    </row>
    <row r="288" spans="2:5" ht="15" x14ac:dyDescent="0.2">
      <c r="B288" s="237">
        <f t="shared" si="4"/>
        <v>284</v>
      </c>
      <c r="C288" s="237" t="s">
        <v>289</v>
      </c>
      <c r="D288" s="237" t="s">
        <v>3413</v>
      </c>
      <c r="E288" s="243">
        <v>58339017</v>
      </c>
    </row>
    <row r="289" spans="2:5" ht="15" x14ac:dyDescent="0.2">
      <c r="B289" s="237">
        <f t="shared" si="4"/>
        <v>285</v>
      </c>
      <c r="C289" s="237" t="s">
        <v>3450</v>
      </c>
      <c r="D289" s="237" t="s">
        <v>3413</v>
      </c>
      <c r="E289" s="243">
        <v>55930250</v>
      </c>
    </row>
    <row r="290" spans="2:5" ht="15" x14ac:dyDescent="0.2">
      <c r="B290" s="237">
        <f t="shared" si="4"/>
        <v>286</v>
      </c>
      <c r="C290" s="237" t="s">
        <v>328</v>
      </c>
      <c r="D290" s="237" t="s">
        <v>3413</v>
      </c>
      <c r="E290" s="243">
        <v>55171746</v>
      </c>
    </row>
    <row r="291" spans="2:5" ht="15" x14ac:dyDescent="0.2">
      <c r="B291" s="237">
        <f t="shared" si="4"/>
        <v>287</v>
      </c>
      <c r="C291" s="237" t="s">
        <v>295</v>
      </c>
      <c r="D291" s="237" t="s">
        <v>3413</v>
      </c>
      <c r="E291" s="243">
        <v>55000000</v>
      </c>
    </row>
    <row r="292" spans="2:5" ht="15" x14ac:dyDescent="0.2">
      <c r="B292" s="237">
        <f t="shared" si="4"/>
        <v>288</v>
      </c>
      <c r="C292" s="237" t="s">
        <v>296</v>
      </c>
      <c r="D292" s="237" t="s">
        <v>3413</v>
      </c>
      <c r="E292" s="243">
        <v>55000000</v>
      </c>
    </row>
    <row r="293" spans="2:5" ht="15" x14ac:dyDescent="0.2">
      <c r="B293" s="237">
        <f t="shared" si="4"/>
        <v>289</v>
      </c>
      <c r="C293" s="237" t="s">
        <v>330</v>
      </c>
      <c r="D293" s="237" t="s">
        <v>3413</v>
      </c>
      <c r="E293" s="243">
        <v>53269221</v>
      </c>
    </row>
    <row r="294" spans="2:5" ht="15" x14ac:dyDescent="0.2">
      <c r="B294" s="237">
        <f t="shared" si="4"/>
        <v>290</v>
      </c>
      <c r="C294" s="237" t="s">
        <v>354</v>
      </c>
      <c r="D294" s="237" t="s">
        <v>3413</v>
      </c>
      <c r="E294" s="243">
        <v>52616312</v>
      </c>
    </row>
    <row r="295" spans="2:5" ht="15" x14ac:dyDescent="0.2">
      <c r="B295" s="237">
        <f t="shared" si="4"/>
        <v>291</v>
      </c>
      <c r="C295" s="237" t="s">
        <v>218</v>
      </c>
      <c r="D295" s="237" t="s">
        <v>3413</v>
      </c>
      <c r="E295" s="243">
        <v>51827665</v>
      </c>
    </row>
    <row r="296" spans="2:5" ht="15" x14ac:dyDescent="0.2">
      <c r="B296" s="237">
        <f t="shared" si="4"/>
        <v>292</v>
      </c>
      <c r="C296" s="237" t="s">
        <v>293</v>
      </c>
      <c r="D296" s="237" t="s">
        <v>3413</v>
      </c>
      <c r="E296" s="243">
        <v>51500000</v>
      </c>
    </row>
    <row r="297" spans="2:5" ht="15" x14ac:dyDescent="0.2">
      <c r="B297" s="237">
        <f t="shared" si="4"/>
        <v>293</v>
      </c>
      <c r="C297" s="237" t="s">
        <v>299</v>
      </c>
      <c r="D297" s="237" t="s">
        <v>3413</v>
      </c>
      <c r="E297" s="243">
        <v>50988450</v>
      </c>
    </row>
    <row r="298" spans="2:5" ht="15" x14ac:dyDescent="0.2">
      <c r="B298" s="237">
        <f t="shared" si="4"/>
        <v>294</v>
      </c>
      <c r="C298" s="237" t="s">
        <v>337</v>
      </c>
      <c r="D298" s="237" t="s">
        <v>3413</v>
      </c>
      <c r="E298" s="243">
        <v>50686920</v>
      </c>
    </row>
    <row r="299" spans="2:5" ht="15" x14ac:dyDescent="0.2">
      <c r="B299" s="237">
        <f t="shared" si="4"/>
        <v>295</v>
      </c>
      <c r="C299" s="237" t="s">
        <v>438</v>
      </c>
      <c r="D299" s="237" t="s">
        <v>3413</v>
      </c>
      <c r="E299" s="243">
        <v>50107163</v>
      </c>
    </row>
    <row r="300" spans="2:5" ht="15" x14ac:dyDescent="0.2">
      <c r="B300" s="237">
        <f t="shared" si="4"/>
        <v>296</v>
      </c>
      <c r="C300" s="237" t="s">
        <v>169</v>
      </c>
      <c r="D300" s="237" t="s">
        <v>3413</v>
      </c>
      <c r="E300" s="243">
        <v>50000000</v>
      </c>
    </row>
    <row r="301" spans="2:5" ht="15" x14ac:dyDescent="0.2">
      <c r="B301" s="237">
        <f t="shared" si="4"/>
        <v>297</v>
      </c>
      <c r="C301" s="237" t="s">
        <v>305</v>
      </c>
      <c r="D301" s="237" t="s">
        <v>3413</v>
      </c>
      <c r="E301" s="243">
        <v>50000000</v>
      </c>
    </row>
    <row r="302" spans="2:5" ht="15" x14ac:dyDescent="0.2">
      <c r="B302" s="237">
        <f t="shared" si="4"/>
        <v>298</v>
      </c>
      <c r="C302" s="237" t="s">
        <v>303</v>
      </c>
      <c r="D302" s="237" t="s">
        <v>3413</v>
      </c>
      <c r="E302" s="243">
        <v>50000000</v>
      </c>
    </row>
    <row r="303" spans="2:5" ht="15" x14ac:dyDescent="0.2">
      <c r="B303" s="237">
        <f t="shared" si="4"/>
        <v>299</v>
      </c>
      <c r="C303" s="237" t="s">
        <v>300</v>
      </c>
      <c r="D303" s="237" t="s">
        <v>3413</v>
      </c>
      <c r="E303" s="243">
        <v>50000000</v>
      </c>
    </row>
    <row r="304" spans="2:5" ht="15" x14ac:dyDescent="0.2">
      <c r="B304" s="237">
        <f t="shared" si="4"/>
        <v>300</v>
      </c>
      <c r="C304" s="237" t="s">
        <v>304</v>
      </c>
      <c r="D304" s="237" t="s">
        <v>3413</v>
      </c>
      <c r="E304" s="243">
        <v>50000000</v>
      </c>
    </row>
    <row r="305" spans="2:5" ht="15" x14ac:dyDescent="0.2">
      <c r="B305" s="237">
        <f t="shared" si="4"/>
        <v>301</v>
      </c>
      <c r="C305" s="237" t="s">
        <v>312</v>
      </c>
      <c r="D305" s="237" t="s">
        <v>3413</v>
      </c>
      <c r="E305" s="243">
        <v>50000000</v>
      </c>
    </row>
    <row r="306" spans="2:5" ht="15" x14ac:dyDescent="0.2">
      <c r="B306" s="237">
        <f t="shared" si="4"/>
        <v>302</v>
      </c>
      <c r="C306" s="237" t="s">
        <v>322</v>
      </c>
      <c r="D306" s="237" t="s">
        <v>3413</v>
      </c>
      <c r="E306" s="243">
        <v>50000000</v>
      </c>
    </row>
    <row r="307" spans="2:5" ht="15" x14ac:dyDescent="0.2">
      <c r="B307" s="237">
        <f t="shared" si="4"/>
        <v>303</v>
      </c>
      <c r="C307" s="237" t="s">
        <v>314</v>
      </c>
      <c r="D307" s="237" t="s">
        <v>3413</v>
      </c>
      <c r="E307" s="243">
        <v>50000000</v>
      </c>
    </row>
    <row r="308" spans="2:5" ht="15" x14ac:dyDescent="0.2">
      <c r="B308" s="237">
        <f t="shared" si="4"/>
        <v>304</v>
      </c>
      <c r="C308" s="237" t="s">
        <v>311</v>
      </c>
      <c r="D308" s="237" t="s">
        <v>3413</v>
      </c>
      <c r="E308" s="243">
        <v>50000000</v>
      </c>
    </row>
    <row r="309" spans="2:5" ht="15" x14ac:dyDescent="0.2">
      <c r="B309" s="237">
        <f t="shared" si="4"/>
        <v>305</v>
      </c>
      <c r="C309" s="237" t="s">
        <v>320</v>
      </c>
      <c r="D309" s="237" t="s">
        <v>3413</v>
      </c>
      <c r="E309" s="243">
        <v>50000000</v>
      </c>
    </row>
    <row r="310" spans="2:5" ht="15" x14ac:dyDescent="0.2">
      <c r="B310" s="237">
        <f t="shared" si="4"/>
        <v>306</v>
      </c>
      <c r="C310" s="237" t="s">
        <v>318</v>
      </c>
      <c r="D310" s="237" t="s">
        <v>3413</v>
      </c>
      <c r="E310" s="243">
        <v>50000000</v>
      </c>
    </row>
    <row r="311" spans="2:5" ht="15" x14ac:dyDescent="0.2">
      <c r="B311" s="237">
        <f t="shared" si="4"/>
        <v>307</v>
      </c>
      <c r="C311" s="237" t="s">
        <v>317</v>
      </c>
      <c r="D311" s="237" t="s">
        <v>3413</v>
      </c>
      <c r="E311" s="243">
        <v>50000000</v>
      </c>
    </row>
    <row r="312" spans="2:5" ht="15" x14ac:dyDescent="0.2">
      <c r="B312" s="237">
        <f t="shared" si="4"/>
        <v>308</v>
      </c>
      <c r="C312" s="237" t="s">
        <v>313</v>
      </c>
      <c r="D312" s="237" t="s">
        <v>3413</v>
      </c>
      <c r="E312" s="243">
        <v>50000000</v>
      </c>
    </row>
    <row r="313" spans="2:5" ht="15" x14ac:dyDescent="0.2">
      <c r="B313" s="237">
        <f t="shared" si="4"/>
        <v>309</v>
      </c>
      <c r="C313" s="237" t="s">
        <v>307</v>
      </c>
      <c r="D313" s="237" t="s">
        <v>3413</v>
      </c>
      <c r="E313" s="243">
        <v>50000000</v>
      </c>
    </row>
    <row r="314" spans="2:5" ht="15" x14ac:dyDescent="0.2">
      <c r="B314" s="237">
        <f t="shared" si="4"/>
        <v>310</v>
      </c>
      <c r="C314" s="237" t="s">
        <v>319</v>
      </c>
      <c r="D314" s="237" t="s">
        <v>3413</v>
      </c>
      <c r="E314" s="243">
        <v>50000000</v>
      </c>
    </row>
    <row r="315" spans="2:5" ht="15" x14ac:dyDescent="0.2">
      <c r="B315" s="237">
        <f t="shared" si="4"/>
        <v>311</v>
      </c>
      <c r="C315" s="237" t="s">
        <v>308</v>
      </c>
      <c r="D315" s="237" t="s">
        <v>3413</v>
      </c>
      <c r="E315" s="243">
        <v>50000000</v>
      </c>
    </row>
    <row r="316" spans="2:5" ht="15" x14ac:dyDescent="0.2">
      <c r="B316" s="237">
        <f t="shared" si="4"/>
        <v>312</v>
      </c>
      <c r="C316" s="237" t="s">
        <v>310</v>
      </c>
      <c r="D316" s="237" t="s">
        <v>3413</v>
      </c>
      <c r="E316" s="243">
        <v>50000000</v>
      </c>
    </row>
    <row r="317" spans="2:5" ht="15" x14ac:dyDescent="0.2">
      <c r="B317" s="237">
        <f t="shared" si="4"/>
        <v>313</v>
      </c>
      <c r="C317" s="237" t="s">
        <v>316</v>
      </c>
      <c r="D317" s="237" t="s">
        <v>3413</v>
      </c>
      <c r="E317" s="243">
        <v>50000000</v>
      </c>
    </row>
    <row r="318" spans="2:5" ht="15" x14ac:dyDescent="0.2">
      <c r="B318" s="237">
        <f t="shared" si="4"/>
        <v>314</v>
      </c>
      <c r="C318" s="237" t="s">
        <v>315</v>
      </c>
      <c r="D318" s="237" t="s">
        <v>3413</v>
      </c>
      <c r="E318" s="243">
        <v>50000000</v>
      </c>
    </row>
    <row r="319" spans="2:5" ht="15" x14ac:dyDescent="0.2">
      <c r="B319" s="237">
        <f t="shared" si="4"/>
        <v>315</v>
      </c>
      <c r="C319" s="237" t="s">
        <v>306</v>
      </c>
      <c r="D319" s="237" t="s">
        <v>3413</v>
      </c>
      <c r="E319" s="243">
        <v>50000000</v>
      </c>
    </row>
    <row r="320" spans="2:5" ht="15" x14ac:dyDescent="0.2">
      <c r="B320" s="237">
        <f t="shared" si="4"/>
        <v>316</v>
      </c>
      <c r="C320" s="237" t="s">
        <v>309</v>
      </c>
      <c r="D320" s="237" t="s">
        <v>3413</v>
      </c>
      <c r="E320" s="243">
        <v>50000000</v>
      </c>
    </row>
    <row r="321" spans="2:5" ht="15" x14ac:dyDescent="0.2">
      <c r="B321" s="237">
        <f t="shared" si="4"/>
        <v>317</v>
      </c>
      <c r="C321" s="237" t="s">
        <v>291</v>
      </c>
      <c r="D321" s="237" t="s">
        <v>3413</v>
      </c>
      <c r="E321" s="243">
        <v>50000000</v>
      </c>
    </row>
    <row r="322" spans="2:5" ht="15" x14ac:dyDescent="0.2">
      <c r="B322" s="237">
        <f t="shared" si="4"/>
        <v>318</v>
      </c>
      <c r="C322" s="237" t="s">
        <v>321</v>
      </c>
      <c r="D322" s="237" t="s">
        <v>3413</v>
      </c>
      <c r="E322" s="243">
        <v>50000000</v>
      </c>
    </row>
    <row r="323" spans="2:5" ht="15" x14ac:dyDescent="0.2">
      <c r="B323" s="237">
        <f t="shared" si="4"/>
        <v>319</v>
      </c>
      <c r="C323" s="237" t="s">
        <v>357</v>
      </c>
      <c r="D323" s="237" t="s">
        <v>3413</v>
      </c>
      <c r="E323" s="243">
        <v>48967445</v>
      </c>
    </row>
    <row r="324" spans="2:5" ht="15" x14ac:dyDescent="0.2">
      <c r="B324" s="237">
        <f t="shared" si="4"/>
        <v>320</v>
      </c>
      <c r="C324" s="237" t="s">
        <v>3451</v>
      </c>
      <c r="D324" s="237" t="s">
        <v>3413</v>
      </c>
      <c r="E324" s="243">
        <v>48308750</v>
      </c>
    </row>
    <row r="325" spans="2:5" ht="15" x14ac:dyDescent="0.2">
      <c r="B325" s="237">
        <f t="shared" si="4"/>
        <v>321</v>
      </c>
      <c r="C325" s="237" t="s">
        <v>347</v>
      </c>
      <c r="D325" s="237" t="s">
        <v>3413</v>
      </c>
      <c r="E325" s="243">
        <v>48054542</v>
      </c>
    </row>
    <row r="326" spans="2:5" ht="15" x14ac:dyDescent="0.2">
      <c r="B326" s="237">
        <f t="shared" ref="B326:B389" si="5">B325+1</f>
        <v>322</v>
      </c>
      <c r="C326" s="237" t="s">
        <v>446</v>
      </c>
      <c r="D326" s="237" t="s">
        <v>3413</v>
      </c>
      <c r="E326" s="243">
        <v>47918177</v>
      </c>
    </row>
    <row r="327" spans="2:5" ht="15" x14ac:dyDescent="0.2">
      <c r="B327" s="237">
        <f t="shared" si="5"/>
        <v>323</v>
      </c>
      <c r="C327" s="237" t="s">
        <v>368</v>
      </c>
      <c r="D327" s="237" t="s">
        <v>3413</v>
      </c>
      <c r="E327" s="243">
        <v>47689990</v>
      </c>
    </row>
    <row r="328" spans="2:5" ht="15" x14ac:dyDescent="0.2">
      <c r="B328" s="237">
        <f t="shared" si="5"/>
        <v>324</v>
      </c>
      <c r="C328" s="237" t="s">
        <v>369</v>
      </c>
      <c r="D328" s="237" t="s">
        <v>3413</v>
      </c>
      <c r="E328" s="243">
        <v>47529099</v>
      </c>
    </row>
    <row r="329" spans="2:5" ht="15" x14ac:dyDescent="0.2">
      <c r="B329" s="237">
        <f t="shared" si="5"/>
        <v>325</v>
      </c>
      <c r="C329" s="237" t="s">
        <v>3452</v>
      </c>
      <c r="D329" s="237" t="s">
        <v>3413</v>
      </c>
      <c r="E329" s="243">
        <v>47349376</v>
      </c>
    </row>
    <row r="330" spans="2:5" ht="15" x14ac:dyDescent="0.2">
      <c r="B330" s="237">
        <f t="shared" si="5"/>
        <v>326</v>
      </c>
      <c r="C330" s="237" t="s">
        <v>660</v>
      </c>
      <c r="D330" s="237" t="s">
        <v>3413</v>
      </c>
      <c r="E330" s="243">
        <v>46571665</v>
      </c>
    </row>
    <row r="331" spans="2:5" ht="15" x14ac:dyDescent="0.2">
      <c r="B331" s="237">
        <f t="shared" si="5"/>
        <v>327</v>
      </c>
      <c r="C331" s="237" t="s">
        <v>3453</v>
      </c>
      <c r="D331" s="237" t="s">
        <v>3413</v>
      </c>
      <c r="E331" s="243">
        <v>45384657</v>
      </c>
    </row>
    <row r="332" spans="2:5" ht="15" x14ac:dyDescent="0.2">
      <c r="B332" s="237">
        <f t="shared" si="5"/>
        <v>328</v>
      </c>
      <c r="C332" s="237" t="s">
        <v>3454</v>
      </c>
      <c r="D332" s="237" t="s">
        <v>3413</v>
      </c>
      <c r="E332" s="243">
        <v>45122336</v>
      </c>
    </row>
    <row r="333" spans="2:5" ht="15" x14ac:dyDescent="0.2">
      <c r="B333" s="237">
        <f t="shared" si="5"/>
        <v>329</v>
      </c>
      <c r="C333" s="237" t="s">
        <v>3455</v>
      </c>
      <c r="D333" s="237" t="s">
        <v>3413</v>
      </c>
      <c r="E333" s="243">
        <v>44226000</v>
      </c>
    </row>
    <row r="334" spans="2:5" ht="15" x14ac:dyDescent="0.2">
      <c r="B334" s="237">
        <f t="shared" si="5"/>
        <v>330</v>
      </c>
      <c r="C334" s="237" t="s">
        <v>346</v>
      </c>
      <c r="D334" s="237" t="s">
        <v>3413</v>
      </c>
      <c r="E334" s="243">
        <v>44075311</v>
      </c>
    </row>
    <row r="335" spans="2:5" ht="15" x14ac:dyDescent="0.2">
      <c r="B335" s="237">
        <f t="shared" si="5"/>
        <v>331</v>
      </c>
      <c r="C335" s="237" t="s">
        <v>3456</v>
      </c>
      <c r="D335" s="237" t="s">
        <v>3413</v>
      </c>
      <c r="E335" s="243">
        <v>43929549</v>
      </c>
    </row>
    <row r="336" spans="2:5" ht="15" x14ac:dyDescent="0.2">
      <c r="B336" s="237">
        <f t="shared" si="5"/>
        <v>332</v>
      </c>
      <c r="C336" s="237" t="s">
        <v>327</v>
      </c>
      <c r="D336" s="237" t="s">
        <v>3413</v>
      </c>
      <c r="E336" s="243">
        <v>43921202</v>
      </c>
    </row>
    <row r="337" spans="2:5" ht="15" x14ac:dyDescent="0.2">
      <c r="B337" s="237">
        <f t="shared" si="5"/>
        <v>333</v>
      </c>
      <c r="C337" s="237" t="s">
        <v>3457</v>
      </c>
      <c r="D337" s="237" t="s">
        <v>3413</v>
      </c>
      <c r="E337" s="243">
        <v>43883181</v>
      </c>
    </row>
    <row r="338" spans="2:5" ht="15" x14ac:dyDescent="0.2">
      <c r="B338" s="237">
        <f t="shared" si="5"/>
        <v>334</v>
      </c>
      <c r="C338" s="237" t="s">
        <v>3458</v>
      </c>
      <c r="D338" s="237" t="s">
        <v>3413</v>
      </c>
      <c r="E338" s="243">
        <v>43703325</v>
      </c>
    </row>
    <row r="339" spans="2:5" ht="15" x14ac:dyDescent="0.2">
      <c r="B339" s="237">
        <f t="shared" si="5"/>
        <v>335</v>
      </c>
      <c r="C339" s="237" t="s">
        <v>3459</v>
      </c>
      <c r="D339" s="237" t="s">
        <v>3413</v>
      </c>
      <c r="E339" s="243">
        <v>43699365</v>
      </c>
    </row>
    <row r="340" spans="2:5" ht="15" x14ac:dyDescent="0.2">
      <c r="B340" s="237">
        <f t="shared" si="5"/>
        <v>336</v>
      </c>
      <c r="C340" s="237" t="s">
        <v>292</v>
      </c>
      <c r="D340" s="237" t="s">
        <v>3413</v>
      </c>
      <c r="E340" s="243">
        <v>41913900</v>
      </c>
    </row>
    <row r="341" spans="2:5" ht="15" x14ac:dyDescent="0.2">
      <c r="B341" s="237">
        <f t="shared" si="5"/>
        <v>337</v>
      </c>
      <c r="C341" s="237" t="s">
        <v>332</v>
      </c>
      <c r="D341" s="237" t="s">
        <v>3413</v>
      </c>
      <c r="E341" s="243">
        <v>40000000</v>
      </c>
    </row>
    <row r="342" spans="2:5" ht="15" x14ac:dyDescent="0.2">
      <c r="B342" s="237">
        <f t="shared" si="5"/>
        <v>338</v>
      </c>
      <c r="C342" s="237" t="s">
        <v>3460</v>
      </c>
      <c r="D342" s="237" t="s">
        <v>3413</v>
      </c>
      <c r="E342" s="243">
        <v>39753813</v>
      </c>
    </row>
    <row r="343" spans="2:5" ht="15" x14ac:dyDescent="0.2">
      <c r="B343" s="237">
        <f t="shared" si="5"/>
        <v>339</v>
      </c>
      <c r="C343" s="237" t="s">
        <v>334</v>
      </c>
      <c r="D343" s="237" t="s">
        <v>3413</v>
      </c>
      <c r="E343" s="243">
        <v>38264214</v>
      </c>
    </row>
    <row r="344" spans="2:5" ht="15" x14ac:dyDescent="0.2">
      <c r="B344" s="237">
        <f t="shared" si="5"/>
        <v>340</v>
      </c>
      <c r="C344" s="237" t="s">
        <v>338</v>
      </c>
      <c r="D344" s="237" t="s">
        <v>3413</v>
      </c>
      <c r="E344" s="243">
        <v>37825980</v>
      </c>
    </row>
    <row r="345" spans="2:5" ht="15" x14ac:dyDescent="0.2">
      <c r="B345" s="237">
        <f t="shared" si="5"/>
        <v>341</v>
      </c>
      <c r="C345" s="237" t="s">
        <v>356</v>
      </c>
      <c r="D345" s="237" t="s">
        <v>3413</v>
      </c>
      <c r="E345" s="243">
        <v>37243202</v>
      </c>
    </row>
    <row r="346" spans="2:5" ht="15" x14ac:dyDescent="0.2">
      <c r="B346" s="237">
        <f t="shared" si="5"/>
        <v>342</v>
      </c>
      <c r="C346" s="237" t="s">
        <v>339</v>
      </c>
      <c r="D346" s="237" t="s">
        <v>3413</v>
      </c>
      <c r="E346" s="243">
        <v>36999998</v>
      </c>
    </row>
    <row r="347" spans="2:5" ht="15" x14ac:dyDescent="0.2">
      <c r="B347" s="237">
        <f t="shared" si="5"/>
        <v>343</v>
      </c>
      <c r="C347" s="237" t="s">
        <v>335</v>
      </c>
      <c r="D347" s="237" t="s">
        <v>3413</v>
      </c>
      <c r="E347" s="243">
        <v>36625002</v>
      </c>
    </row>
    <row r="348" spans="2:5" ht="15" x14ac:dyDescent="0.2">
      <c r="B348" s="237">
        <f t="shared" si="5"/>
        <v>344</v>
      </c>
      <c r="C348" s="237" t="s">
        <v>340</v>
      </c>
      <c r="D348" s="237" t="s">
        <v>3413</v>
      </c>
      <c r="E348" s="243">
        <v>36600000</v>
      </c>
    </row>
    <row r="349" spans="2:5" ht="15" x14ac:dyDescent="0.2">
      <c r="B349" s="237">
        <f t="shared" si="5"/>
        <v>345</v>
      </c>
      <c r="C349" s="237" t="s">
        <v>3461</v>
      </c>
      <c r="D349" s="237" t="s">
        <v>3413</v>
      </c>
      <c r="E349" s="243">
        <v>36444009</v>
      </c>
    </row>
    <row r="350" spans="2:5" ht="15" x14ac:dyDescent="0.2">
      <c r="B350" s="237">
        <f t="shared" si="5"/>
        <v>346</v>
      </c>
      <c r="C350" s="237" t="s">
        <v>3462</v>
      </c>
      <c r="D350" s="237" t="s">
        <v>3413</v>
      </c>
      <c r="E350" s="243">
        <v>35948411</v>
      </c>
    </row>
    <row r="351" spans="2:5" ht="15" x14ac:dyDescent="0.2">
      <c r="B351" s="237">
        <f t="shared" si="5"/>
        <v>347</v>
      </c>
      <c r="C351" s="237" t="s">
        <v>658</v>
      </c>
      <c r="D351" s="237" t="s">
        <v>3413</v>
      </c>
      <c r="E351" s="243">
        <v>35545799</v>
      </c>
    </row>
    <row r="352" spans="2:5" ht="15" x14ac:dyDescent="0.2">
      <c r="B352" s="237">
        <f t="shared" si="5"/>
        <v>348</v>
      </c>
      <c r="C352" s="237" t="s">
        <v>363</v>
      </c>
      <c r="D352" s="237" t="s">
        <v>3413</v>
      </c>
      <c r="E352" s="243">
        <v>34344575</v>
      </c>
    </row>
    <row r="353" spans="2:5" ht="15" x14ac:dyDescent="0.2">
      <c r="B353" s="237">
        <f t="shared" si="5"/>
        <v>349</v>
      </c>
      <c r="C353" s="237" t="s">
        <v>367</v>
      </c>
      <c r="D353" s="237" t="s">
        <v>3413</v>
      </c>
      <c r="E353" s="243">
        <v>33810453</v>
      </c>
    </row>
    <row r="354" spans="2:5" ht="15" x14ac:dyDescent="0.2">
      <c r="B354" s="237">
        <f t="shared" si="5"/>
        <v>350</v>
      </c>
      <c r="C354" s="237" t="s">
        <v>448</v>
      </c>
      <c r="D354" s="237" t="s">
        <v>3413</v>
      </c>
      <c r="E354" s="243">
        <v>32719454</v>
      </c>
    </row>
    <row r="355" spans="2:5" ht="15" x14ac:dyDescent="0.2">
      <c r="B355" s="237">
        <f t="shared" si="5"/>
        <v>351</v>
      </c>
      <c r="C355" s="237" t="s">
        <v>329</v>
      </c>
      <c r="D355" s="237" t="s">
        <v>3413</v>
      </c>
      <c r="E355" s="243">
        <v>32399400</v>
      </c>
    </row>
    <row r="356" spans="2:5" ht="15" x14ac:dyDescent="0.2">
      <c r="B356" s="237">
        <f t="shared" si="5"/>
        <v>352</v>
      </c>
      <c r="C356" s="237" t="s">
        <v>636</v>
      </c>
      <c r="D356" s="237" t="s">
        <v>3414</v>
      </c>
      <c r="E356" s="243">
        <v>31834505</v>
      </c>
    </row>
    <row r="357" spans="2:5" ht="15" x14ac:dyDescent="0.2">
      <c r="B357" s="237">
        <f t="shared" si="5"/>
        <v>353</v>
      </c>
      <c r="C357" s="237" t="s">
        <v>362</v>
      </c>
      <c r="D357" s="237" t="s">
        <v>3413</v>
      </c>
      <c r="E357" s="243">
        <v>31592298</v>
      </c>
    </row>
    <row r="358" spans="2:5" ht="15" x14ac:dyDescent="0.2">
      <c r="B358" s="237">
        <f t="shared" si="5"/>
        <v>354</v>
      </c>
      <c r="C358" s="237" t="s">
        <v>3463</v>
      </c>
      <c r="D358" s="237" t="s">
        <v>3413</v>
      </c>
      <c r="E358" s="243">
        <v>31578691</v>
      </c>
    </row>
    <row r="359" spans="2:5" ht="15" x14ac:dyDescent="0.2">
      <c r="B359" s="237">
        <f t="shared" si="5"/>
        <v>355</v>
      </c>
      <c r="C359" s="237" t="s">
        <v>452</v>
      </c>
      <c r="D359" s="237" t="s">
        <v>3413</v>
      </c>
      <c r="E359" s="243">
        <v>31366727</v>
      </c>
    </row>
    <row r="360" spans="2:5" ht="15" x14ac:dyDescent="0.2">
      <c r="B360" s="237">
        <f t="shared" si="5"/>
        <v>356</v>
      </c>
      <c r="C360" s="237" t="s">
        <v>276</v>
      </c>
      <c r="D360" s="237" t="s">
        <v>3413</v>
      </c>
      <c r="E360" s="243">
        <v>30927205</v>
      </c>
    </row>
    <row r="361" spans="2:5" ht="15" x14ac:dyDescent="0.2">
      <c r="B361" s="237">
        <f t="shared" si="5"/>
        <v>357</v>
      </c>
      <c r="C361" s="237" t="s">
        <v>664</v>
      </c>
      <c r="D361" s="237" t="s">
        <v>3413</v>
      </c>
      <c r="E361" s="243">
        <v>30551000</v>
      </c>
    </row>
    <row r="362" spans="2:5" ht="15" x14ac:dyDescent="0.2">
      <c r="B362" s="237">
        <f t="shared" si="5"/>
        <v>358</v>
      </c>
      <c r="C362" s="237" t="s">
        <v>387</v>
      </c>
      <c r="D362" s="237" t="s">
        <v>3413</v>
      </c>
      <c r="E362" s="243">
        <v>30527997</v>
      </c>
    </row>
    <row r="363" spans="2:5" ht="15" x14ac:dyDescent="0.2">
      <c r="B363" s="237">
        <f t="shared" si="5"/>
        <v>359</v>
      </c>
      <c r="C363" s="237" t="s">
        <v>350</v>
      </c>
      <c r="D363" s="237" t="s">
        <v>3413</v>
      </c>
      <c r="E363" s="243">
        <v>30308482</v>
      </c>
    </row>
    <row r="364" spans="2:5" ht="15" x14ac:dyDescent="0.2">
      <c r="B364" s="237">
        <f t="shared" si="5"/>
        <v>360</v>
      </c>
      <c r="C364" s="237" t="s">
        <v>3464</v>
      </c>
      <c r="D364" s="237" t="s">
        <v>3413</v>
      </c>
      <c r="E364" s="243">
        <v>30000000</v>
      </c>
    </row>
    <row r="365" spans="2:5" ht="15" x14ac:dyDescent="0.2">
      <c r="B365" s="237">
        <f t="shared" si="5"/>
        <v>361</v>
      </c>
      <c r="C365" s="237" t="s">
        <v>351</v>
      </c>
      <c r="D365" s="237" t="s">
        <v>3413</v>
      </c>
      <c r="E365" s="243">
        <v>30000000</v>
      </c>
    </row>
    <row r="366" spans="2:5" ht="15" x14ac:dyDescent="0.2">
      <c r="B366" s="237">
        <f t="shared" si="5"/>
        <v>362</v>
      </c>
      <c r="C366" s="237" t="s">
        <v>352</v>
      </c>
      <c r="D366" s="237" t="s">
        <v>3413</v>
      </c>
      <c r="E366" s="243">
        <v>30000000</v>
      </c>
    </row>
    <row r="367" spans="2:5" ht="15" x14ac:dyDescent="0.2">
      <c r="B367" s="237">
        <f t="shared" si="5"/>
        <v>363</v>
      </c>
      <c r="C367" s="237" t="s">
        <v>389</v>
      </c>
      <c r="D367" s="237" t="s">
        <v>3413</v>
      </c>
      <c r="E367" s="243">
        <v>29699205</v>
      </c>
    </row>
    <row r="368" spans="2:5" ht="15" x14ac:dyDescent="0.2">
      <c r="B368" s="237">
        <f t="shared" si="5"/>
        <v>364</v>
      </c>
      <c r="C368" s="237" t="s">
        <v>3465</v>
      </c>
      <c r="D368" s="237" t="s">
        <v>3413</v>
      </c>
      <c r="E368" s="243">
        <v>29538800</v>
      </c>
    </row>
    <row r="369" spans="2:5" ht="15" x14ac:dyDescent="0.2">
      <c r="B369" s="237">
        <f t="shared" si="5"/>
        <v>365</v>
      </c>
      <c r="C369" s="237" t="s">
        <v>3466</v>
      </c>
      <c r="D369" s="237" t="s">
        <v>3413</v>
      </c>
      <c r="E369" s="243">
        <v>29414000</v>
      </c>
    </row>
    <row r="370" spans="2:5" ht="15" x14ac:dyDescent="0.2">
      <c r="B370" s="237">
        <f t="shared" si="5"/>
        <v>366</v>
      </c>
      <c r="C370" s="237" t="s">
        <v>3467</v>
      </c>
      <c r="D370" s="237" t="s">
        <v>3413</v>
      </c>
      <c r="E370" s="243">
        <v>29390578</v>
      </c>
    </row>
    <row r="371" spans="2:5" ht="15" x14ac:dyDescent="0.2">
      <c r="B371" s="237">
        <f t="shared" si="5"/>
        <v>367</v>
      </c>
      <c r="C371" s="237" t="s">
        <v>3468</v>
      </c>
      <c r="D371" s="237" t="s">
        <v>3413</v>
      </c>
      <c r="E371" s="243">
        <v>29284366</v>
      </c>
    </row>
    <row r="372" spans="2:5" ht="15" x14ac:dyDescent="0.2">
      <c r="B372" s="237">
        <f t="shared" si="5"/>
        <v>368</v>
      </c>
      <c r="C372" s="237" t="s">
        <v>3469</v>
      </c>
      <c r="D372" s="237" t="s">
        <v>3413</v>
      </c>
      <c r="E372" s="243">
        <v>29254550</v>
      </c>
    </row>
    <row r="373" spans="2:5" ht="15" x14ac:dyDescent="0.2">
      <c r="B373" s="237">
        <f t="shared" si="5"/>
        <v>369</v>
      </c>
      <c r="C373" s="237" t="s">
        <v>3470</v>
      </c>
      <c r="D373" s="237" t="s">
        <v>3413</v>
      </c>
      <c r="E373" s="243">
        <v>29245984</v>
      </c>
    </row>
    <row r="374" spans="2:5" ht="15" x14ac:dyDescent="0.2">
      <c r="B374" s="237">
        <f t="shared" si="5"/>
        <v>370</v>
      </c>
      <c r="C374" s="237" t="s">
        <v>3471</v>
      </c>
      <c r="D374" s="237" t="s">
        <v>3413</v>
      </c>
      <c r="E374" s="243">
        <v>29229999</v>
      </c>
    </row>
    <row r="375" spans="2:5" ht="15" x14ac:dyDescent="0.2">
      <c r="B375" s="237">
        <f t="shared" si="5"/>
        <v>371</v>
      </c>
      <c r="C375" s="237" t="s">
        <v>3472</v>
      </c>
      <c r="D375" s="237" t="s">
        <v>3413</v>
      </c>
      <c r="E375" s="243">
        <v>29213386</v>
      </c>
    </row>
    <row r="376" spans="2:5" ht="15" x14ac:dyDescent="0.2">
      <c r="B376" s="237">
        <f t="shared" si="5"/>
        <v>372</v>
      </c>
      <c r="C376" s="237" t="s">
        <v>3473</v>
      </c>
      <c r="D376" s="237" t="s">
        <v>3413</v>
      </c>
      <c r="E376" s="243">
        <v>29178160</v>
      </c>
    </row>
    <row r="377" spans="2:5" ht="15" x14ac:dyDescent="0.2">
      <c r="B377" s="237">
        <f t="shared" si="5"/>
        <v>373</v>
      </c>
      <c r="C377" s="237" t="s">
        <v>3474</v>
      </c>
      <c r="D377" s="237" t="s">
        <v>3413</v>
      </c>
      <c r="E377" s="243">
        <v>29123670</v>
      </c>
    </row>
    <row r="378" spans="2:5" ht="15" x14ac:dyDescent="0.2">
      <c r="B378" s="237">
        <f t="shared" si="5"/>
        <v>374</v>
      </c>
      <c r="C378" s="237" t="s">
        <v>3475</v>
      </c>
      <c r="D378" s="237" t="s">
        <v>3413</v>
      </c>
      <c r="E378" s="243">
        <v>29121000</v>
      </c>
    </row>
    <row r="379" spans="2:5" ht="15" x14ac:dyDescent="0.2">
      <c r="B379" s="237">
        <f t="shared" si="5"/>
        <v>375</v>
      </c>
      <c r="C379" s="237" t="s">
        <v>3476</v>
      </c>
      <c r="D379" s="237" t="s">
        <v>3413</v>
      </c>
      <c r="E379" s="243">
        <v>29100110</v>
      </c>
    </row>
    <row r="380" spans="2:5" ht="15" x14ac:dyDescent="0.2">
      <c r="B380" s="237">
        <f t="shared" si="5"/>
        <v>376</v>
      </c>
      <c r="C380" s="237" t="s">
        <v>390</v>
      </c>
      <c r="D380" s="237" t="s">
        <v>3413</v>
      </c>
      <c r="E380" s="243">
        <v>28998636</v>
      </c>
    </row>
    <row r="381" spans="2:5" ht="15" x14ac:dyDescent="0.2">
      <c r="B381" s="237">
        <f t="shared" si="5"/>
        <v>377</v>
      </c>
      <c r="C381" s="237" t="s">
        <v>3477</v>
      </c>
      <c r="D381" s="237" t="s">
        <v>3413</v>
      </c>
      <c r="E381" s="243">
        <v>28990500</v>
      </c>
    </row>
    <row r="382" spans="2:5" ht="15" x14ac:dyDescent="0.2">
      <c r="B382" s="237">
        <f t="shared" si="5"/>
        <v>378</v>
      </c>
      <c r="C382" s="237" t="s">
        <v>3478</v>
      </c>
      <c r="D382" s="237" t="s">
        <v>3413</v>
      </c>
      <c r="E382" s="243">
        <v>28796249</v>
      </c>
    </row>
    <row r="383" spans="2:5" ht="15" x14ac:dyDescent="0.2">
      <c r="B383" s="237">
        <f t="shared" si="5"/>
        <v>379</v>
      </c>
      <c r="C383" s="237" t="s">
        <v>457</v>
      </c>
      <c r="D383" s="237" t="s">
        <v>3413</v>
      </c>
      <c r="E383" s="243">
        <v>28789753</v>
      </c>
    </row>
    <row r="384" spans="2:5" ht="15" x14ac:dyDescent="0.2">
      <c r="B384" s="237">
        <f t="shared" si="5"/>
        <v>380</v>
      </c>
      <c r="C384" s="237" t="s">
        <v>388</v>
      </c>
      <c r="D384" s="237" t="s">
        <v>3413</v>
      </c>
      <c r="E384" s="243">
        <v>28129106</v>
      </c>
    </row>
    <row r="385" spans="2:5" ht="15" x14ac:dyDescent="0.2">
      <c r="B385" s="237">
        <f t="shared" si="5"/>
        <v>381</v>
      </c>
      <c r="C385" s="237" t="s">
        <v>359</v>
      </c>
      <c r="D385" s="237" t="s">
        <v>3413</v>
      </c>
      <c r="E385" s="243">
        <v>28105902</v>
      </c>
    </row>
    <row r="386" spans="2:5" ht="15" x14ac:dyDescent="0.2">
      <c r="B386" s="237">
        <f t="shared" si="5"/>
        <v>382</v>
      </c>
      <c r="C386" s="237" t="s">
        <v>3479</v>
      </c>
      <c r="D386" s="237" t="s">
        <v>3413</v>
      </c>
      <c r="E386" s="243">
        <v>27860000</v>
      </c>
    </row>
    <row r="387" spans="2:5" ht="15" x14ac:dyDescent="0.2">
      <c r="B387" s="237">
        <f t="shared" si="5"/>
        <v>383</v>
      </c>
      <c r="C387" s="237" t="s">
        <v>3480</v>
      </c>
      <c r="D387" s="237" t="s">
        <v>3413</v>
      </c>
      <c r="E387" s="243">
        <v>27832257</v>
      </c>
    </row>
    <row r="388" spans="2:5" ht="15" x14ac:dyDescent="0.2">
      <c r="B388" s="237">
        <f t="shared" si="5"/>
        <v>384</v>
      </c>
      <c r="C388" s="237" t="s">
        <v>253</v>
      </c>
      <c r="D388" s="237" t="s">
        <v>3413</v>
      </c>
      <c r="E388" s="243">
        <v>27800000</v>
      </c>
    </row>
    <row r="389" spans="2:5" ht="15" x14ac:dyDescent="0.2">
      <c r="B389" s="237">
        <f t="shared" si="5"/>
        <v>385</v>
      </c>
      <c r="C389" s="237" t="s">
        <v>661</v>
      </c>
      <c r="D389" s="237" t="s">
        <v>3413</v>
      </c>
      <c r="E389" s="243">
        <v>26991250</v>
      </c>
    </row>
    <row r="390" spans="2:5" ht="15" x14ac:dyDescent="0.2">
      <c r="B390" s="237">
        <f t="shared" ref="B390:B453" si="6">B389+1</f>
        <v>386</v>
      </c>
      <c r="C390" s="237" t="s">
        <v>3481</v>
      </c>
      <c r="D390" s="237" t="s">
        <v>3413</v>
      </c>
      <c r="E390" s="243">
        <v>26681250</v>
      </c>
    </row>
    <row r="391" spans="2:5" ht="15" x14ac:dyDescent="0.2">
      <c r="B391" s="237">
        <f t="shared" si="6"/>
        <v>387</v>
      </c>
      <c r="C391" s="237" t="s">
        <v>399</v>
      </c>
      <c r="D391" s="237" t="s">
        <v>3413</v>
      </c>
      <c r="E391" s="243">
        <v>26290000</v>
      </c>
    </row>
    <row r="392" spans="2:5" ht="15" x14ac:dyDescent="0.2">
      <c r="B392" s="237">
        <f t="shared" si="6"/>
        <v>388</v>
      </c>
      <c r="C392" s="237" t="s">
        <v>366</v>
      </c>
      <c r="D392" s="237" t="s">
        <v>3413</v>
      </c>
      <c r="E392" s="243">
        <v>26157780</v>
      </c>
    </row>
    <row r="393" spans="2:5" ht="15" x14ac:dyDescent="0.2">
      <c r="B393" s="237">
        <f t="shared" si="6"/>
        <v>389</v>
      </c>
      <c r="C393" s="237" t="s">
        <v>400</v>
      </c>
      <c r="D393" s="237" t="s">
        <v>3413</v>
      </c>
      <c r="E393" s="243">
        <v>26066870</v>
      </c>
    </row>
    <row r="394" spans="2:5" ht="15" x14ac:dyDescent="0.2">
      <c r="B394" s="237">
        <f t="shared" si="6"/>
        <v>390</v>
      </c>
      <c r="C394" s="237" t="s">
        <v>56</v>
      </c>
      <c r="D394" s="237" t="s">
        <v>3413</v>
      </c>
      <c r="E394" s="243">
        <v>26000000</v>
      </c>
    </row>
    <row r="395" spans="2:5" ht="15" x14ac:dyDescent="0.2">
      <c r="B395" s="237">
        <f t="shared" si="6"/>
        <v>391</v>
      </c>
      <c r="C395" s="237" t="s">
        <v>659</v>
      </c>
      <c r="D395" s="237" t="s">
        <v>3413</v>
      </c>
      <c r="E395" s="243">
        <v>25906489</v>
      </c>
    </row>
    <row r="396" spans="2:5" ht="15" x14ac:dyDescent="0.2">
      <c r="B396" s="237">
        <f t="shared" si="6"/>
        <v>392</v>
      </c>
      <c r="C396" s="237" t="s">
        <v>364</v>
      </c>
      <c r="D396" s="237" t="s">
        <v>3413</v>
      </c>
      <c r="E396" s="243">
        <v>25729579</v>
      </c>
    </row>
    <row r="397" spans="2:5" ht="15" x14ac:dyDescent="0.2">
      <c r="B397" s="237">
        <f t="shared" si="6"/>
        <v>393</v>
      </c>
      <c r="C397" s="237" t="s">
        <v>385</v>
      </c>
      <c r="D397" s="237" t="s">
        <v>3413</v>
      </c>
      <c r="E397" s="243">
        <v>25685303</v>
      </c>
    </row>
    <row r="398" spans="2:5" ht="15" x14ac:dyDescent="0.2">
      <c r="B398" s="237">
        <f t="shared" si="6"/>
        <v>394</v>
      </c>
      <c r="C398" s="237" t="s">
        <v>3482</v>
      </c>
      <c r="D398" s="237" t="s">
        <v>3413</v>
      </c>
      <c r="E398" s="243">
        <v>25679547</v>
      </c>
    </row>
    <row r="399" spans="2:5" ht="15" x14ac:dyDescent="0.2">
      <c r="B399" s="237">
        <f t="shared" si="6"/>
        <v>395</v>
      </c>
      <c r="C399" s="237" t="s">
        <v>3483</v>
      </c>
      <c r="D399" s="237" t="s">
        <v>3413</v>
      </c>
      <c r="E399" s="243">
        <v>25363125</v>
      </c>
    </row>
    <row r="400" spans="2:5" ht="15" x14ac:dyDescent="0.2">
      <c r="B400" s="237">
        <f t="shared" si="6"/>
        <v>396</v>
      </c>
      <c r="C400" s="237" t="s">
        <v>3484</v>
      </c>
      <c r="D400" s="237" t="s">
        <v>3413</v>
      </c>
      <c r="E400" s="243">
        <v>25305002</v>
      </c>
    </row>
    <row r="401" spans="2:5" ht="15" x14ac:dyDescent="0.2">
      <c r="B401" s="237">
        <f t="shared" si="6"/>
        <v>397</v>
      </c>
      <c r="C401" s="237" t="s">
        <v>403</v>
      </c>
      <c r="D401" s="237" t="s">
        <v>3413</v>
      </c>
      <c r="E401" s="243">
        <v>25244013</v>
      </c>
    </row>
    <row r="402" spans="2:5" ht="15" x14ac:dyDescent="0.2">
      <c r="B402" s="237">
        <f t="shared" si="6"/>
        <v>398</v>
      </c>
      <c r="C402" s="237" t="s">
        <v>3485</v>
      </c>
      <c r="D402" s="237" t="s">
        <v>3413</v>
      </c>
      <c r="E402" s="243">
        <v>25192133</v>
      </c>
    </row>
    <row r="403" spans="2:5" ht="15" x14ac:dyDescent="0.2">
      <c r="B403" s="237">
        <f t="shared" si="6"/>
        <v>399</v>
      </c>
      <c r="C403" s="237" t="s">
        <v>3486</v>
      </c>
      <c r="D403" s="237" t="s">
        <v>3413</v>
      </c>
      <c r="E403" s="243">
        <v>25135868</v>
      </c>
    </row>
    <row r="404" spans="2:5" ht="15" x14ac:dyDescent="0.2">
      <c r="B404" s="237">
        <f t="shared" si="6"/>
        <v>400</v>
      </c>
      <c r="C404" s="237" t="s">
        <v>404</v>
      </c>
      <c r="D404" s="237" t="s">
        <v>3413</v>
      </c>
      <c r="E404" s="243">
        <v>25120816</v>
      </c>
    </row>
    <row r="405" spans="2:5" ht="15" x14ac:dyDescent="0.2">
      <c r="B405" s="237">
        <f t="shared" si="6"/>
        <v>401</v>
      </c>
      <c r="C405" s="237" t="s">
        <v>371</v>
      </c>
      <c r="D405" s="237" t="s">
        <v>3413</v>
      </c>
      <c r="E405" s="243">
        <v>25000000</v>
      </c>
    </row>
    <row r="406" spans="2:5" ht="15" x14ac:dyDescent="0.2">
      <c r="B406" s="237">
        <f t="shared" si="6"/>
        <v>402</v>
      </c>
      <c r="C406" s="237" t="s">
        <v>370</v>
      </c>
      <c r="D406" s="237" t="s">
        <v>3413</v>
      </c>
      <c r="E406" s="243">
        <v>25000000</v>
      </c>
    </row>
    <row r="407" spans="2:5" ht="15" x14ac:dyDescent="0.2">
      <c r="B407" s="237">
        <f t="shared" si="6"/>
        <v>403</v>
      </c>
      <c r="C407" s="237" t="s">
        <v>377</v>
      </c>
      <c r="D407" s="237" t="s">
        <v>3413</v>
      </c>
      <c r="E407" s="243">
        <v>25000000</v>
      </c>
    </row>
    <row r="408" spans="2:5" ht="15" x14ac:dyDescent="0.2">
      <c r="B408" s="237">
        <f t="shared" si="6"/>
        <v>404</v>
      </c>
      <c r="C408" s="237" t="s">
        <v>3487</v>
      </c>
      <c r="D408" s="237" t="s">
        <v>3413</v>
      </c>
      <c r="E408" s="243">
        <v>25000000</v>
      </c>
    </row>
    <row r="409" spans="2:5" ht="15" x14ac:dyDescent="0.2">
      <c r="B409" s="237">
        <f t="shared" si="6"/>
        <v>405</v>
      </c>
      <c r="C409" s="237" t="s">
        <v>373</v>
      </c>
      <c r="D409" s="237" t="s">
        <v>3413</v>
      </c>
      <c r="E409" s="243">
        <v>25000000</v>
      </c>
    </row>
    <row r="410" spans="2:5" ht="15" x14ac:dyDescent="0.2">
      <c r="B410" s="237">
        <f t="shared" si="6"/>
        <v>406</v>
      </c>
      <c r="C410" s="237" t="s">
        <v>380</v>
      </c>
      <c r="D410" s="237" t="s">
        <v>3413</v>
      </c>
      <c r="E410" s="243">
        <v>25000000</v>
      </c>
    </row>
    <row r="411" spans="2:5" ht="15" x14ac:dyDescent="0.2">
      <c r="B411" s="237">
        <f t="shared" si="6"/>
        <v>407</v>
      </c>
      <c r="C411" s="237" t="s">
        <v>375</v>
      </c>
      <c r="D411" s="237" t="s">
        <v>3413</v>
      </c>
      <c r="E411" s="243">
        <v>25000000</v>
      </c>
    </row>
    <row r="412" spans="2:5" ht="15" x14ac:dyDescent="0.2">
      <c r="B412" s="237">
        <f t="shared" si="6"/>
        <v>408</v>
      </c>
      <c r="C412" s="237" t="s">
        <v>372</v>
      </c>
      <c r="D412" s="237" t="s">
        <v>3413</v>
      </c>
      <c r="E412" s="243">
        <v>25000000</v>
      </c>
    </row>
    <row r="413" spans="2:5" ht="15" x14ac:dyDescent="0.2">
      <c r="B413" s="237">
        <f t="shared" si="6"/>
        <v>409</v>
      </c>
      <c r="C413" s="237" t="s">
        <v>378</v>
      </c>
      <c r="D413" s="237" t="s">
        <v>3413</v>
      </c>
      <c r="E413" s="243">
        <v>25000000</v>
      </c>
    </row>
    <row r="414" spans="2:5" ht="15" x14ac:dyDescent="0.2">
      <c r="B414" s="237">
        <f t="shared" si="6"/>
        <v>410</v>
      </c>
      <c r="C414" s="237" t="s">
        <v>645</v>
      </c>
      <c r="D414" s="237" t="s">
        <v>3413</v>
      </c>
      <c r="E414" s="243">
        <v>25000000</v>
      </c>
    </row>
    <row r="415" spans="2:5" ht="15" x14ac:dyDescent="0.2">
      <c r="B415" s="237">
        <f t="shared" si="6"/>
        <v>411</v>
      </c>
      <c r="C415" s="237" t="s">
        <v>376</v>
      </c>
      <c r="D415" s="237" t="s">
        <v>3413</v>
      </c>
      <c r="E415" s="243">
        <v>25000000</v>
      </c>
    </row>
    <row r="416" spans="2:5" ht="15" x14ac:dyDescent="0.2">
      <c r="B416" s="237">
        <f t="shared" si="6"/>
        <v>412</v>
      </c>
      <c r="C416" s="237" t="s">
        <v>654</v>
      </c>
      <c r="D416" s="237" t="s">
        <v>3413</v>
      </c>
      <c r="E416" s="243">
        <v>25000000</v>
      </c>
    </row>
    <row r="417" spans="2:5" ht="15" x14ac:dyDescent="0.2">
      <c r="B417" s="237">
        <f t="shared" si="6"/>
        <v>413</v>
      </c>
      <c r="C417" s="237" t="s">
        <v>383</v>
      </c>
      <c r="D417" s="237" t="s">
        <v>3413</v>
      </c>
      <c r="E417" s="243">
        <v>25000000</v>
      </c>
    </row>
    <row r="418" spans="2:5" ht="15" x14ac:dyDescent="0.2">
      <c r="B418" s="237">
        <f t="shared" si="6"/>
        <v>414</v>
      </c>
      <c r="C418" s="237" t="s">
        <v>182</v>
      </c>
      <c r="D418" s="237" t="s">
        <v>3413</v>
      </c>
      <c r="E418" s="243">
        <v>25000000</v>
      </c>
    </row>
    <row r="419" spans="2:5" ht="15" x14ac:dyDescent="0.2">
      <c r="B419" s="237">
        <f t="shared" si="6"/>
        <v>415</v>
      </c>
      <c r="C419" s="237" t="s">
        <v>374</v>
      </c>
      <c r="D419" s="237" t="s">
        <v>3413</v>
      </c>
      <c r="E419" s="243">
        <v>25000000</v>
      </c>
    </row>
    <row r="420" spans="2:5" ht="15" x14ac:dyDescent="0.2">
      <c r="B420" s="237">
        <f t="shared" si="6"/>
        <v>416</v>
      </c>
      <c r="C420" s="237" t="s">
        <v>379</v>
      </c>
      <c r="D420" s="237" t="s">
        <v>3413</v>
      </c>
      <c r="E420" s="243">
        <v>25000000</v>
      </c>
    </row>
    <row r="421" spans="2:5" ht="15" x14ac:dyDescent="0.2">
      <c r="B421" s="237">
        <f t="shared" si="6"/>
        <v>417</v>
      </c>
      <c r="C421" s="237" t="s">
        <v>382</v>
      </c>
      <c r="D421" s="237" t="s">
        <v>3413</v>
      </c>
      <c r="E421" s="243">
        <v>25000000</v>
      </c>
    </row>
    <row r="422" spans="2:5" ht="15" x14ac:dyDescent="0.2">
      <c r="B422" s="237">
        <f t="shared" si="6"/>
        <v>418</v>
      </c>
      <c r="C422" s="237" t="s">
        <v>381</v>
      </c>
      <c r="D422" s="237" t="s">
        <v>3413</v>
      </c>
      <c r="E422" s="243">
        <v>25000000</v>
      </c>
    </row>
    <row r="423" spans="2:5" ht="15" x14ac:dyDescent="0.2">
      <c r="B423" s="237">
        <f t="shared" si="6"/>
        <v>419</v>
      </c>
      <c r="C423" s="237" t="s">
        <v>3488</v>
      </c>
      <c r="D423" s="237" t="s">
        <v>3413</v>
      </c>
      <c r="E423" s="243">
        <v>24955215</v>
      </c>
    </row>
    <row r="424" spans="2:5" ht="15" x14ac:dyDescent="0.2">
      <c r="B424" s="237">
        <f t="shared" si="6"/>
        <v>420</v>
      </c>
      <c r="C424" s="237" t="s">
        <v>3489</v>
      </c>
      <c r="D424" s="237" t="s">
        <v>3413</v>
      </c>
      <c r="E424" s="243">
        <v>24914587</v>
      </c>
    </row>
    <row r="425" spans="2:5" ht="15" x14ac:dyDescent="0.2">
      <c r="B425" s="237">
        <f t="shared" si="6"/>
        <v>421</v>
      </c>
      <c r="C425" s="237" t="s">
        <v>3490</v>
      </c>
      <c r="D425" s="237" t="s">
        <v>3413</v>
      </c>
      <c r="E425" s="243">
        <v>24840000</v>
      </c>
    </row>
    <row r="426" spans="2:5" ht="15" x14ac:dyDescent="0.2">
      <c r="B426" s="237">
        <f t="shared" si="6"/>
        <v>422</v>
      </c>
      <c r="C426" s="237" t="s">
        <v>406</v>
      </c>
      <c r="D426" s="237" t="s">
        <v>3413</v>
      </c>
      <c r="E426" s="243">
        <v>24796560</v>
      </c>
    </row>
    <row r="427" spans="2:5" ht="15" x14ac:dyDescent="0.2">
      <c r="B427" s="237">
        <f t="shared" si="6"/>
        <v>423</v>
      </c>
      <c r="C427" s="237" t="s">
        <v>384</v>
      </c>
      <c r="D427" s="237" t="s">
        <v>3413</v>
      </c>
      <c r="E427" s="243">
        <v>24712000</v>
      </c>
    </row>
    <row r="428" spans="2:5" ht="15" x14ac:dyDescent="0.2">
      <c r="B428" s="237">
        <f t="shared" si="6"/>
        <v>424</v>
      </c>
      <c r="C428" s="237" t="s">
        <v>3491</v>
      </c>
      <c r="D428" s="237" t="s">
        <v>3413</v>
      </c>
      <c r="E428" s="243">
        <v>24710057</v>
      </c>
    </row>
    <row r="429" spans="2:5" ht="15" x14ac:dyDescent="0.2">
      <c r="B429" s="237">
        <f t="shared" si="6"/>
        <v>425</v>
      </c>
      <c r="C429" s="237" t="s">
        <v>410</v>
      </c>
      <c r="D429" s="237" t="s">
        <v>3413</v>
      </c>
      <c r="E429" s="243">
        <v>24582166</v>
      </c>
    </row>
    <row r="430" spans="2:5" ht="15" x14ac:dyDescent="0.2">
      <c r="B430" s="237">
        <f t="shared" si="6"/>
        <v>426</v>
      </c>
      <c r="C430" s="237" t="s">
        <v>3492</v>
      </c>
      <c r="D430" s="237" t="s">
        <v>3413</v>
      </c>
      <c r="E430" s="243">
        <v>24362705</v>
      </c>
    </row>
    <row r="431" spans="2:5" ht="15" x14ac:dyDescent="0.2">
      <c r="B431" s="237">
        <f t="shared" si="6"/>
        <v>427</v>
      </c>
      <c r="C431" s="237" t="s">
        <v>3493</v>
      </c>
      <c r="D431" s="237" t="s">
        <v>3413</v>
      </c>
      <c r="E431" s="243">
        <v>24041500</v>
      </c>
    </row>
    <row r="432" spans="2:5" ht="15" x14ac:dyDescent="0.2">
      <c r="B432" s="237">
        <f t="shared" si="6"/>
        <v>428</v>
      </c>
      <c r="C432" s="237" t="s">
        <v>3494</v>
      </c>
      <c r="D432" s="237" t="s">
        <v>3413</v>
      </c>
      <c r="E432" s="243">
        <v>23818900</v>
      </c>
    </row>
    <row r="433" spans="2:5" ht="15" x14ac:dyDescent="0.2">
      <c r="B433" s="237">
        <f t="shared" si="6"/>
        <v>429</v>
      </c>
      <c r="C433" s="237" t="s">
        <v>386</v>
      </c>
      <c r="D433" s="237" t="s">
        <v>3413</v>
      </c>
      <c r="E433" s="243">
        <v>23512462</v>
      </c>
    </row>
    <row r="434" spans="2:5" ht="15" x14ac:dyDescent="0.2">
      <c r="B434" s="237">
        <f t="shared" si="6"/>
        <v>430</v>
      </c>
      <c r="C434" s="237" t="s">
        <v>3495</v>
      </c>
      <c r="D434" s="237" t="s">
        <v>3413</v>
      </c>
      <c r="E434" s="243">
        <v>23505001</v>
      </c>
    </row>
    <row r="435" spans="2:5" ht="15" x14ac:dyDescent="0.2">
      <c r="B435" s="237">
        <f t="shared" si="6"/>
        <v>431</v>
      </c>
      <c r="C435" s="237" t="s">
        <v>3496</v>
      </c>
      <c r="D435" s="237" t="s">
        <v>3413</v>
      </c>
      <c r="E435" s="243">
        <v>23504739</v>
      </c>
    </row>
    <row r="436" spans="2:5" ht="15" x14ac:dyDescent="0.2">
      <c r="B436" s="237">
        <f t="shared" si="6"/>
        <v>432</v>
      </c>
      <c r="C436" s="237" t="s">
        <v>3497</v>
      </c>
      <c r="D436" s="237" t="s">
        <v>3413</v>
      </c>
      <c r="E436" s="243">
        <v>23044985</v>
      </c>
    </row>
    <row r="437" spans="2:5" ht="15" x14ac:dyDescent="0.2">
      <c r="B437" s="237">
        <f t="shared" si="6"/>
        <v>433</v>
      </c>
      <c r="C437" s="237" t="s">
        <v>331</v>
      </c>
      <c r="D437" s="237" t="s">
        <v>3413</v>
      </c>
      <c r="E437" s="243">
        <v>23000000</v>
      </c>
    </row>
    <row r="438" spans="2:5" ht="15" x14ac:dyDescent="0.2">
      <c r="B438" s="237">
        <f t="shared" si="6"/>
        <v>434</v>
      </c>
      <c r="C438" s="237" t="s">
        <v>414</v>
      </c>
      <c r="D438" s="237" t="s">
        <v>3413</v>
      </c>
      <c r="E438" s="243">
        <v>22930146</v>
      </c>
    </row>
    <row r="439" spans="2:5" ht="15" x14ac:dyDescent="0.2">
      <c r="B439" s="237">
        <f t="shared" si="6"/>
        <v>435</v>
      </c>
      <c r="C439" s="237" t="s">
        <v>415</v>
      </c>
      <c r="D439" s="237" t="s">
        <v>3413</v>
      </c>
      <c r="E439" s="243">
        <v>22811901</v>
      </c>
    </row>
    <row r="440" spans="2:5" ht="15" x14ac:dyDescent="0.2">
      <c r="B440" s="237">
        <f t="shared" si="6"/>
        <v>436</v>
      </c>
      <c r="C440" s="237" t="s">
        <v>653</v>
      </c>
      <c r="D440" s="237" t="s">
        <v>3413</v>
      </c>
      <c r="E440" s="243">
        <v>22488859</v>
      </c>
    </row>
    <row r="441" spans="2:5" ht="15" x14ac:dyDescent="0.2">
      <c r="B441" s="237">
        <f t="shared" si="6"/>
        <v>437</v>
      </c>
      <c r="C441" s="237" t="s">
        <v>391</v>
      </c>
      <c r="D441" s="237" t="s">
        <v>3413</v>
      </c>
      <c r="E441" s="243">
        <v>22258200</v>
      </c>
    </row>
    <row r="442" spans="2:5" ht="15" x14ac:dyDescent="0.2">
      <c r="B442" s="237">
        <f t="shared" si="6"/>
        <v>438</v>
      </c>
      <c r="C442" s="237" t="s">
        <v>360</v>
      </c>
      <c r="D442" s="237" t="s">
        <v>3413</v>
      </c>
      <c r="E442" s="243">
        <v>22175000</v>
      </c>
    </row>
    <row r="443" spans="2:5" ht="15" x14ac:dyDescent="0.2">
      <c r="B443" s="237">
        <f t="shared" si="6"/>
        <v>439</v>
      </c>
      <c r="C443" s="237" t="s">
        <v>416</v>
      </c>
      <c r="D443" s="237" t="s">
        <v>3413</v>
      </c>
      <c r="E443" s="243">
        <v>21927456</v>
      </c>
    </row>
    <row r="444" spans="2:5" ht="15" x14ac:dyDescent="0.2">
      <c r="B444" s="237">
        <f t="shared" si="6"/>
        <v>440</v>
      </c>
      <c r="C444" s="237" t="s">
        <v>392</v>
      </c>
      <c r="D444" s="237" t="s">
        <v>3413</v>
      </c>
      <c r="E444" s="243">
        <v>21874860</v>
      </c>
    </row>
    <row r="445" spans="2:5" ht="15" x14ac:dyDescent="0.2">
      <c r="B445" s="237">
        <f t="shared" si="6"/>
        <v>441</v>
      </c>
      <c r="C445" s="237" t="s">
        <v>412</v>
      </c>
      <c r="D445" s="237" t="s">
        <v>3413</v>
      </c>
      <c r="E445" s="243">
        <v>21500000</v>
      </c>
    </row>
    <row r="446" spans="2:5" ht="15" x14ac:dyDescent="0.2">
      <c r="B446" s="237">
        <f t="shared" si="6"/>
        <v>442</v>
      </c>
      <c r="C446" s="237" t="s">
        <v>420</v>
      </c>
      <c r="D446" s="237" t="s">
        <v>3413</v>
      </c>
      <c r="E446" s="243">
        <v>21165094</v>
      </c>
    </row>
    <row r="447" spans="2:5" ht="15" x14ac:dyDescent="0.2">
      <c r="B447" s="237">
        <f t="shared" si="6"/>
        <v>443</v>
      </c>
      <c r="C447" s="237" t="s">
        <v>547</v>
      </c>
      <c r="D447" s="237" t="s">
        <v>3413</v>
      </c>
      <c r="E447" s="243">
        <v>21116129</v>
      </c>
    </row>
    <row r="448" spans="2:5" ht="15" x14ac:dyDescent="0.2">
      <c r="B448" s="237">
        <f t="shared" si="6"/>
        <v>444</v>
      </c>
      <c r="C448" s="237" t="s">
        <v>397</v>
      </c>
      <c r="D448" s="237" t="s">
        <v>3413</v>
      </c>
      <c r="E448" s="243">
        <v>20700000</v>
      </c>
    </row>
    <row r="449" spans="2:5" ht="15" x14ac:dyDescent="0.2">
      <c r="B449" s="237">
        <f t="shared" si="6"/>
        <v>445</v>
      </c>
      <c r="C449" s="237" t="s">
        <v>423</v>
      </c>
      <c r="D449" s="237" t="s">
        <v>3413</v>
      </c>
      <c r="E449" s="243">
        <v>20608142</v>
      </c>
    </row>
    <row r="450" spans="2:5" ht="15" x14ac:dyDescent="0.2">
      <c r="B450" s="237">
        <f t="shared" si="6"/>
        <v>446</v>
      </c>
      <c r="C450" s="237" t="s">
        <v>3498</v>
      </c>
      <c r="D450" s="237" t="s">
        <v>3413</v>
      </c>
      <c r="E450" s="243">
        <v>20500000</v>
      </c>
    </row>
    <row r="451" spans="2:5" ht="15" x14ac:dyDescent="0.2">
      <c r="B451" s="237">
        <f t="shared" si="6"/>
        <v>447</v>
      </c>
      <c r="C451" s="237" t="s">
        <v>398</v>
      </c>
      <c r="D451" s="237" t="s">
        <v>3413</v>
      </c>
      <c r="E451" s="243">
        <v>20390000</v>
      </c>
    </row>
    <row r="452" spans="2:5" ht="15" x14ac:dyDescent="0.2">
      <c r="B452" s="237">
        <f t="shared" si="6"/>
        <v>448</v>
      </c>
      <c r="C452" s="237" t="s">
        <v>427</v>
      </c>
      <c r="D452" s="237" t="s">
        <v>3413</v>
      </c>
      <c r="E452" s="243">
        <v>20039223</v>
      </c>
    </row>
    <row r="453" spans="2:5" ht="15" x14ac:dyDescent="0.2">
      <c r="B453" s="237">
        <f t="shared" si="6"/>
        <v>449</v>
      </c>
      <c r="C453" s="237" t="s">
        <v>449</v>
      </c>
      <c r="D453" s="237" t="s">
        <v>3413</v>
      </c>
      <c r="E453" s="243">
        <v>19966355</v>
      </c>
    </row>
    <row r="454" spans="2:5" ht="15" x14ac:dyDescent="0.2">
      <c r="B454" s="237">
        <f t="shared" ref="B454:B517" si="7">B453+1</f>
        <v>450</v>
      </c>
      <c r="C454" s="237" t="s">
        <v>3499</v>
      </c>
      <c r="D454" s="237" t="s">
        <v>3413</v>
      </c>
      <c r="E454" s="243">
        <v>19900000</v>
      </c>
    </row>
    <row r="455" spans="2:5" ht="15" x14ac:dyDescent="0.2">
      <c r="B455" s="237">
        <f t="shared" si="7"/>
        <v>451</v>
      </c>
      <c r="C455" s="237" t="s">
        <v>3500</v>
      </c>
      <c r="D455" s="237" t="s">
        <v>3413</v>
      </c>
      <c r="E455" s="243">
        <v>19804205</v>
      </c>
    </row>
    <row r="456" spans="2:5" ht="15" x14ac:dyDescent="0.2">
      <c r="B456" s="237">
        <f t="shared" si="7"/>
        <v>452</v>
      </c>
      <c r="C456" s="237" t="s">
        <v>428</v>
      </c>
      <c r="D456" s="237" t="s">
        <v>3413</v>
      </c>
      <c r="E456" s="243">
        <v>19699418</v>
      </c>
    </row>
    <row r="457" spans="2:5" ht="15" x14ac:dyDescent="0.2">
      <c r="B457" s="237">
        <f t="shared" si="7"/>
        <v>453</v>
      </c>
      <c r="C457" s="237" t="s">
        <v>3501</v>
      </c>
      <c r="D457" s="237" t="s">
        <v>3413</v>
      </c>
      <c r="E457" s="243">
        <v>19531433</v>
      </c>
    </row>
    <row r="458" spans="2:5" ht="15" x14ac:dyDescent="0.2">
      <c r="B458" s="237">
        <f t="shared" si="7"/>
        <v>454</v>
      </c>
      <c r="C458" s="237" t="s">
        <v>355</v>
      </c>
      <c r="D458" s="237" t="s">
        <v>3413</v>
      </c>
      <c r="E458" s="243">
        <v>19106630</v>
      </c>
    </row>
    <row r="459" spans="2:5" ht="15" x14ac:dyDescent="0.2">
      <c r="B459" s="237">
        <f t="shared" si="7"/>
        <v>455</v>
      </c>
      <c r="C459" s="237" t="s">
        <v>3502</v>
      </c>
      <c r="D459" s="237" t="s">
        <v>3413</v>
      </c>
      <c r="E459" s="243">
        <v>19047052</v>
      </c>
    </row>
    <row r="460" spans="2:5" ht="15" x14ac:dyDescent="0.2">
      <c r="B460" s="237">
        <f t="shared" si="7"/>
        <v>456</v>
      </c>
      <c r="C460" s="237" t="s">
        <v>407</v>
      </c>
      <c r="D460" s="237" t="s">
        <v>3413</v>
      </c>
      <c r="E460" s="243">
        <v>18978877</v>
      </c>
    </row>
    <row r="461" spans="2:5" ht="15" x14ac:dyDescent="0.2">
      <c r="B461" s="237">
        <f t="shared" si="7"/>
        <v>457</v>
      </c>
      <c r="C461" s="237" t="s">
        <v>408</v>
      </c>
      <c r="D461" s="237" t="s">
        <v>3413</v>
      </c>
      <c r="E461" s="243">
        <v>18978535</v>
      </c>
    </row>
    <row r="462" spans="2:5" ht="15" x14ac:dyDescent="0.2">
      <c r="B462" s="237">
        <f t="shared" si="7"/>
        <v>458</v>
      </c>
      <c r="C462" s="237" t="s">
        <v>3503</v>
      </c>
      <c r="D462" s="237" t="s">
        <v>3413</v>
      </c>
      <c r="E462" s="243">
        <v>18946400</v>
      </c>
    </row>
    <row r="463" spans="2:5" ht="15" x14ac:dyDescent="0.2">
      <c r="B463" s="237">
        <f t="shared" si="7"/>
        <v>459</v>
      </c>
      <c r="C463" s="237" t="s">
        <v>358</v>
      </c>
      <c r="D463" s="237" t="s">
        <v>3413</v>
      </c>
      <c r="E463" s="243">
        <v>18896472</v>
      </c>
    </row>
    <row r="464" spans="2:5" ht="15" x14ac:dyDescent="0.2">
      <c r="B464" s="237">
        <f t="shared" si="7"/>
        <v>460</v>
      </c>
      <c r="C464" s="237" t="s">
        <v>3504</v>
      </c>
      <c r="D464" s="237" t="s">
        <v>3413</v>
      </c>
      <c r="E464" s="243">
        <v>18797013</v>
      </c>
    </row>
    <row r="465" spans="2:5" ht="15" x14ac:dyDescent="0.2">
      <c r="B465" s="237">
        <f t="shared" si="7"/>
        <v>461</v>
      </c>
      <c r="C465" s="237" t="s">
        <v>298</v>
      </c>
      <c r="D465" s="237" t="s">
        <v>3413</v>
      </c>
      <c r="E465" s="243">
        <v>18106250</v>
      </c>
    </row>
    <row r="466" spans="2:5" ht="15" x14ac:dyDescent="0.2">
      <c r="B466" s="237">
        <f t="shared" si="7"/>
        <v>462</v>
      </c>
      <c r="C466" s="237" t="s">
        <v>586</v>
      </c>
      <c r="D466" s="237" t="s">
        <v>3413</v>
      </c>
      <c r="E466" s="243">
        <v>17826378</v>
      </c>
    </row>
    <row r="467" spans="2:5" ht="15" x14ac:dyDescent="0.2">
      <c r="B467" s="237">
        <f t="shared" si="7"/>
        <v>463</v>
      </c>
      <c r="C467" s="237" t="s">
        <v>409</v>
      </c>
      <c r="D467" s="237" t="s">
        <v>3413</v>
      </c>
      <c r="E467" s="243">
        <v>17466000</v>
      </c>
    </row>
    <row r="468" spans="2:5" ht="15" x14ac:dyDescent="0.2">
      <c r="B468" s="237">
        <f t="shared" si="7"/>
        <v>464</v>
      </c>
      <c r="C468" s="237" t="s">
        <v>665</v>
      </c>
      <c r="D468" s="237" t="s">
        <v>3413</v>
      </c>
      <c r="E468" s="243">
        <v>17412000</v>
      </c>
    </row>
    <row r="469" spans="2:5" ht="15" x14ac:dyDescent="0.2">
      <c r="B469" s="237">
        <f t="shared" si="7"/>
        <v>465</v>
      </c>
      <c r="C469" s="237" t="s">
        <v>3505</v>
      </c>
      <c r="D469" s="237" t="s">
        <v>3413</v>
      </c>
      <c r="E469" s="243">
        <v>17395300</v>
      </c>
    </row>
    <row r="470" spans="2:5" ht="15" x14ac:dyDescent="0.2">
      <c r="B470" s="237">
        <f t="shared" si="7"/>
        <v>466</v>
      </c>
      <c r="C470" s="237" t="s">
        <v>3506</v>
      </c>
      <c r="D470" s="237" t="s">
        <v>3413</v>
      </c>
      <c r="E470" s="243">
        <v>17395300</v>
      </c>
    </row>
    <row r="471" spans="2:5" ht="15" x14ac:dyDescent="0.2">
      <c r="B471" s="237">
        <f t="shared" si="7"/>
        <v>467</v>
      </c>
      <c r="C471" s="237" t="s">
        <v>3507</v>
      </c>
      <c r="D471" s="237" t="s">
        <v>3413</v>
      </c>
      <c r="E471" s="243">
        <v>17385248</v>
      </c>
    </row>
    <row r="472" spans="2:5" ht="15" x14ac:dyDescent="0.2">
      <c r="B472" s="237">
        <f t="shared" si="7"/>
        <v>468</v>
      </c>
      <c r="C472" s="237" t="s">
        <v>3508</v>
      </c>
      <c r="D472" s="237" t="s">
        <v>3413</v>
      </c>
      <c r="E472" s="243">
        <v>17250000</v>
      </c>
    </row>
    <row r="473" spans="2:5" ht="15" x14ac:dyDescent="0.2">
      <c r="B473" s="237">
        <f t="shared" si="7"/>
        <v>469</v>
      </c>
      <c r="C473" s="237" t="s">
        <v>3509</v>
      </c>
      <c r="D473" s="237" t="s">
        <v>3413</v>
      </c>
      <c r="E473" s="243">
        <v>17150000</v>
      </c>
    </row>
    <row r="474" spans="2:5" ht="15" x14ac:dyDescent="0.2">
      <c r="B474" s="237">
        <f t="shared" si="7"/>
        <v>470</v>
      </c>
      <c r="C474" s="237" t="s">
        <v>3510</v>
      </c>
      <c r="D474" s="237" t="s">
        <v>3413</v>
      </c>
      <c r="E474" s="243">
        <v>17100000</v>
      </c>
    </row>
    <row r="475" spans="2:5" ht="15" x14ac:dyDescent="0.2">
      <c r="B475" s="237">
        <f t="shared" si="7"/>
        <v>471</v>
      </c>
      <c r="C475" s="237" t="s">
        <v>417</v>
      </c>
      <c r="D475" s="237" t="s">
        <v>3413</v>
      </c>
      <c r="E475" s="243">
        <v>16850000</v>
      </c>
    </row>
    <row r="476" spans="2:5" ht="15" x14ac:dyDescent="0.2">
      <c r="B476" s="237">
        <f t="shared" si="7"/>
        <v>472</v>
      </c>
      <c r="C476" s="237" t="s">
        <v>396</v>
      </c>
      <c r="D476" s="237" t="s">
        <v>3413</v>
      </c>
      <c r="E476" s="243">
        <v>16820312</v>
      </c>
    </row>
    <row r="477" spans="2:5" ht="15" x14ac:dyDescent="0.2">
      <c r="B477" s="237">
        <f t="shared" si="7"/>
        <v>473</v>
      </c>
      <c r="C477" s="237" t="s">
        <v>3511</v>
      </c>
      <c r="D477" s="237" t="s">
        <v>3413</v>
      </c>
      <c r="E477" s="243">
        <v>16527500</v>
      </c>
    </row>
    <row r="478" spans="2:5" ht="15" x14ac:dyDescent="0.2">
      <c r="B478" s="237">
        <f t="shared" si="7"/>
        <v>474</v>
      </c>
      <c r="C478" s="237" t="s">
        <v>418</v>
      </c>
      <c r="D478" s="237" t="s">
        <v>3413</v>
      </c>
      <c r="E478" s="243">
        <v>16493042</v>
      </c>
    </row>
    <row r="479" spans="2:5" ht="15" x14ac:dyDescent="0.2">
      <c r="B479" s="237">
        <f t="shared" si="7"/>
        <v>475</v>
      </c>
      <c r="C479" s="237" t="s">
        <v>419</v>
      </c>
      <c r="D479" s="237" t="s">
        <v>3413</v>
      </c>
      <c r="E479" s="243">
        <v>16400563</v>
      </c>
    </row>
    <row r="480" spans="2:5" ht="15" x14ac:dyDescent="0.2">
      <c r="B480" s="237">
        <f t="shared" si="7"/>
        <v>476</v>
      </c>
      <c r="C480" s="237" t="s">
        <v>3512</v>
      </c>
      <c r="D480" s="237" t="s">
        <v>3413</v>
      </c>
      <c r="E480" s="243">
        <v>16261425</v>
      </c>
    </row>
    <row r="481" spans="2:5" ht="15" x14ac:dyDescent="0.2">
      <c r="B481" s="237">
        <f t="shared" si="7"/>
        <v>477</v>
      </c>
      <c r="C481" s="237" t="s">
        <v>3513</v>
      </c>
      <c r="D481" s="237" t="s">
        <v>3413</v>
      </c>
      <c r="E481" s="243">
        <v>16224562</v>
      </c>
    </row>
    <row r="482" spans="2:5" ht="15" x14ac:dyDescent="0.2">
      <c r="B482" s="237">
        <f t="shared" si="7"/>
        <v>478</v>
      </c>
      <c r="C482" s="237" t="s">
        <v>440</v>
      </c>
      <c r="D482" s="237" t="s">
        <v>3413</v>
      </c>
      <c r="E482" s="243">
        <v>16060000</v>
      </c>
    </row>
    <row r="483" spans="2:5" ht="15" x14ac:dyDescent="0.2">
      <c r="B483" s="237">
        <f t="shared" si="7"/>
        <v>479</v>
      </c>
      <c r="C483" s="237" t="s">
        <v>402</v>
      </c>
      <c r="D483" s="237" t="s">
        <v>3413</v>
      </c>
      <c r="E483" s="243">
        <v>16041976</v>
      </c>
    </row>
    <row r="484" spans="2:5" ht="15" x14ac:dyDescent="0.2">
      <c r="B484" s="237">
        <f t="shared" si="7"/>
        <v>480</v>
      </c>
      <c r="C484" s="237" t="s">
        <v>3514</v>
      </c>
      <c r="D484" s="237" t="s">
        <v>3413</v>
      </c>
      <c r="E484" s="243">
        <v>16000000</v>
      </c>
    </row>
    <row r="485" spans="2:5" ht="15" x14ac:dyDescent="0.2">
      <c r="B485" s="237">
        <f t="shared" si="7"/>
        <v>481</v>
      </c>
      <c r="C485" s="237" t="s">
        <v>422</v>
      </c>
      <c r="D485" s="237" t="s">
        <v>3413</v>
      </c>
      <c r="E485" s="243">
        <v>16000000</v>
      </c>
    </row>
    <row r="486" spans="2:5" ht="15" x14ac:dyDescent="0.2">
      <c r="B486" s="237">
        <f t="shared" si="7"/>
        <v>482</v>
      </c>
      <c r="C486" s="237" t="s">
        <v>411</v>
      </c>
      <c r="D486" s="237" t="s">
        <v>3413</v>
      </c>
      <c r="E486" s="243">
        <v>15665000</v>
      </c>
    </row>
    <row r="487" spans="2:5" ht="15" x14ac:dyDescent="0.2">
      <c r="B487" s="237">
        <f t="shared" si="7"/>
        <v>483</v>
      </c>
      <c r="C487" s="237" t="s">
        <v>424</v>
      </c>
      <c r="D487" s="237" t="s">
        <v>3413</v>
      </c>
      <c r="E487" s="243">
        <v>15608135</v>
      </c>
    </row>
    <row r="488" spans="2:5" ht="15" x14ac:dyDescent="0.2">
      <c r="B488" s="237">
        <f t="shared" si="7"/>
        <v>484</v>
      </c>
      <c r="C488" s="237" t="s">
        <v>425</v>
      </c>
      <c r="D488" s="237" t="s">
        <v>3413</v>
      </c>
      <c r="E488" s="243">
        <v>15600000</v>
      </c>
    </row>
    <row r="489" spans="2:5" ht="15" x14ac:dyDescent="0.2">
      <c r="B489" s="237">
        <f t="shared" si="7"/>
        <v>485</v>
      </c>
      <c r="C489" s="237" t="s">
        <v>453</v>
      </c>
      <c r="D489" s="237" t="s">
        <v>3413</v>
      </c>
      <c r="E489" s="243">
        <v>15506678</v>
      </c>
    </row>
    <row r="490" spans="2:5" ht="15" x14ac:dyDescent="0.2">
      <c r="B490" s="237">
        <f t="shared" si="7"/>
        <v>486</v>
      </c>
      <c r="C490" s="237" t="s">
        <v>426</v>
      </c>
      <c r="D490" s="237" t="s">
        <v>3413</v>
      </c>
      <c r="E490" s="243">
        <v>15500000</v>
      </c>
    </row>
    <row r="491" spans="2:5" ht="15" x14ac:dyDescent="0.2">
      <c r="B491" s="237">
        <f t="shared" si="7"/>
        <v>487</v>
      </c>
      <c r="C491" s="237" t="s">
        <v>394</v>
      </c>
      <c r="D491" s="237" t="s">
        <v>3413</v>
      </c>
      <c r="E491" s="243">
        <v>15449593</v>
      </c>
    </row>
    <row r="492" spans="2:5" ht="15" x14ac:dyDescent="0.2">
      <c r="B492" s="237">
        <f t="shared" si="7"/>
        <v>488</v>
      </c>
      <c r="C492" s="237" t="s">
        <v>3515</v>
      </c>
      <c r="D492" s="237" t="s">
        <v>3413</v>
      </c>
      <c r="E492" s="243">
        <v>15376500</v>
      </c>
    </row>
    <row r="493" spans="2:5" ht="15" x14ac:dyDescent="0.2">
      <c r="B493" s="237">
        <f t="shared" si="7"/>
        <v>489</v>
      </c>
      <c r="C493" s="237" t="s">
        <v>454</v>
      </c>
      <c r="D493" s="237" t="s">
        <v>3413</v>
      </c>
      <c r="E493" s="243">
        <v>15316402</v>
      </c>
    </row>
    <row r="494" spans="2:5" ht="15" x14ac:dyDescent="0.2">
      <c r="B494" s="237">
        <f t="shared" si="7"/>
        <v>490</v>
      </c>
      <c r="C494" s="237" t="s">
        <v>455</v>
      </c>
      <c r="D494" s="237" t="s">
        <v>3413</v>
      </c>
      <c r="E494" s="243">
        <v>15220630</v>
      </c>
    </row>
    <row r="495" spans="2:5" ht="15" x14ac:dyDescent="0.2">
      <c r="B495" s="237">
        <f t="shared" si="7"/>
        <v>491</v>
      </c>
      <c r="C495" s="237" t="s">
        <v>3516</v>
      </c>
      <c r="D495" s="237" t="s">
        <v>3413</v>
      </c>
      <c r="E495" s="243">
        <v>15195000</v>
      </c>
    </row>
    <row r="496" spans="2:5" ht="15" x14ac:dyDescent="0.2">
      <c r="B496" s="237">
        <f t="shared" si="7"/>
        <v>492</v>
      </c>
      <c r="C496" s="237" t="s">
        <v>3517</v>
      </c>
      <c r="D496" s="237" t="s">
        <v>3413</v>
      </c>
      <c r="E496" s="243">
        <v>15155964</v>
      </c>
    </row>
    <row r="497" spans="2:5" ht="15" x14ac:dyDescent="0.2">
      <c r="B497" s="237">
        <f t="shared" si="7"/>
        <v>493</v>
      </c>
      <c r="C497" s="237" t="s">
        <v>429</v>
      </c>
      <c r="D497" s="237" t="s">
        <v>3413</v>
      </c>
      <c r="E497" s="243">
        <v>15136323</v>
      </c>
    </row>
    <row r="498" spans="2:5" ht="15" x14ac:dyDescent="0.2">
      <c r="B498" s="237">
        <f t="shared" si="7"/>
        <v>494</v>
      </c>
      <c r="C498" s="237" t="s">
        <v>3518</v>
      </c>
      <c r="D498" s="237" t="s">
        <v>3413</v>
      </c>
      <c r="E498" s="243">
        <v>15135168</v>
      </c>
    </row>
    <row r="499" spans="2:5" ht="15" x14ac:dyDescent="0.2">
      <c r="B499" s="237">
        <f t="shared" si="7"/>
        <v>495</v>
      </c>
      <c r="C499" s="237" t="s">
        <v>3519</v>
      </c>
      <c r="D499" s="237" t="s">
        <v>3413</v>
      </c>
      <c r="E499" s="243">
        <v>15132867</v>
      </c>
    </row>
    <row r="500" spans="2:5" ht="15" x14ac:dyDescent="0.2">
      <c r="B500" s="237">
        <f t="shared" si="7"/>
        <v>496</v>
      </c>
      <c r="C500" s="237" t="s">
        <v>3520</v>
      </c>
      <c r="D500" s="237" t="s">
        <v>3413</v>
      </c>
      <c r="E500" s="243">
        <v>15130500</v>
      </c>
    </row>
    <row r="501" spans="2:5" ht="15" x14ac:dyDescent="0.2">
      <c r="B501" s="237">
        <f t="shared" si="7"/>
        <v>497</v>
      </c>
      <c r="C501" s="237" t="s">
        <v>3521</v>
      </c>
      <c r="D501" s="237" t="s">
        <v>3413</v>
      </c>
      <c r="E501" s="243">
        <v>15130165</v>
      </c>
    </row>
    <row r="502" spans="2:5" ht="15" x14ac:dyDescent="0.2">
      <c r="B502" s="237">
        <f t="shared" si="7"/>
        <v>498</v>
      </c>
      <c r="C502" s="237" t="s">
        <v>3522</v>
      </c>
      <c r="D502" s="237" t="s">
        <v>3413</v>
      </c>
      <c r="E502" s="243">
        <v>15120269</v>
      </c>
    </row>
    <row r="503" spans="2:5" ht="15" x14ac:dyDescent="0.2">
      <c r="B503" s="237">
        <f t="shared" si="7"/>
        <v>499</v>
      </c>
      <c r="C503" s="237" t="s">
        <v>3523</v>
      </c>
      <c r="D503" s="237" t="s">
        <v>3413</v>
      </c>
      <c r="E503" s="243">
        <v>15115382</v>
      </c>
    </row>
    <row r="504" spans="2:5" ht="15" x14ac:dyDescent="0.2">
      <c r="B504" s="237">
        <f t="shared" si="7"/>
        <v>500</v>
      </c>
      <c r="C504" s="237" t="s">
        <v>3524</v>
      </c>
      <c r="D504" s="237" t="s">
        <v>3413</v>
      </c>
      <c r="E504" s="243">
        <v>15115382</v>
      </c>
    </row>
    <row r="505" spans="2:5" ht="15" x14ac:dyDescent="0.2">
      <c r="B505" s="237">
        <f t="shared" si="7"/>
        <v>501</v>
      </c>
      <c r="C505" s="237" t="s">
        <v>3525</v>
      </c>
      <c r="D505" s="237" t="s">
        <v>3413</v>
      </c>
      <c r="E505" s="243">
        <v>15090000</v>
      </c>
    </row>
    <row r="506" spans="2:5" ht="15" x14ac:dyDescent="0.2">
      <c r="B506" s="237">
        <f t="shared" si="7"/>
        <v>502</v>
      </c>
      <c r="C506" s="237" t="s">
        <v>3526</v>
      </c>
      <c r="D506" s="237" t="s">
        <v>3413</v>
      </c>
      <c r="E506" s="243">
        <v>15088045</v>
      </c>
    </row>
    <row r="507" spans="2:5" ht="15" x14ac:dyDescent="0.2">
      <c r="B507" s="237">
        <f t="shared" si="7"/>
        <v>503</v>
      </c>
      <c r="C507" s="237" t="s">
        <v>3527</v>
      </c>
      <c r="D507" s="237" t="s">
        <v>3413</v>
      </c>
      <c r="E507" s="243">
        <v>15069174</v>
      </c>
    </row>
    <row r="508" spans="2:5" ht="15" x14ac:dyDescent="0.2">
      <c r="B508" s="237">
        <f t="shared" si="7"/>
        <v>504</v>
      </c>
      <c r="C508" s="237" t="s">
        <v>3528</v>
      </c>
      <c r="D508" s="237" t="s">
        <v>3413</v>
      </c>
      <c r="E508" s="243">
        <v>15012000</v>
      </c>
    </row>
    <row r="509" spans="2:5" ht="15" x14ac:dyDescent="0.2">
      <c r="B509" s="237">
        <f t="shared" si="7"/>
        <v>505</v>
      </c>
      <c r="C509" s="237" t="s">
        <v>430</v>
      </c>
      <c r="D509" s="237" t="s">
        <v>3413</v>
      </c>
      <c r="E509" s="243">
        <v>15011613</v>
      </c>
    </row>
    <row r="510" spans="2:5" ht="15" x14ac:dyDescent="0.2">
      <c r="B510" s="237">
        <f t="shared" si="7"/>
        <v>506</v>
      </c>
      <c r="C510" s="237" t="s">
        <v>3529</v>
      </c>
      <c r="D510" s="237" t="s">
        <v>3413</v>
      </c>
      <c r="E510" s="243">
        <v>15000000</v>
      </c>
    </row>
    <row r="511" spans="2:5" ht="15" x14ac:dyDescent="0.2">
      <c r="B511" s="237">
        <f t="shared" si="7"/>
        <v>507</v>
      </c>
      <c r="C511" s="237" t="s">
        <v>434</v>
      </c>
      <c r="D511" s="237" t="s">
        <v>3413</v>
      </c>
      <c r="E511" s="243">
        <v>15000000</v>
      </c>
    </row>
    <row r="512" spans="2:5" ht="15" x14ac:dyDescent="0.2">
      <c r="B512" s="237">
        <f t="shared" si="7"/>
        <v>508</v>
      </c>
      <c r="C512" s="237" t="s">
        <v>3530</v>
      </c>
      <c r="D512" s="237" t="s">
        <v>3413</v>
      </c>
      <c r="E512" s="243">
        <v>15000000</v>
      </c>
    </row>
    <row r="513" spans="2:5" ht="15" x14ac:dyDescent="0.2">
      <c r="B513" s="237">
        <f t="shared" si="7"/>
        <v>509</v>
      </c>
      <c r="C513" s="237" t="s">
        <v>431</v>
      </c>
      <c r="D513" s="237" t="s">
        <v>3413</v>
      </c>
      <c r="E513" s="243">
        <v>15000000</v>
      </c>
    </row>
    <row r="514" spans="2:5" ht="15" x14ac:dyDescent="0.2">
      <c r="B514" s="237">
        <f t="shared" si="7"/>
        <v>510</v>
      </c>
      <c r="C514" s="237" t="s">
        <v>432</v>
      </c>
      <c r="D514" s="237" t="s">
        <v>3413</v>
      </c>
      <c r="E514" s="243">
        <v>15000000</v>
      </c>
    </row>
    <row r="515" spans="2:5" ht="15" x14ac:dyDescent="0.2">
      <c r="B515" s="237">
        <f t="shared" si="7"/>
        <v>511</v>
      </c>
      <c r="C515" s="237" t="s">
        <v>433</v>
      </c>
      <c r="D515" s="237" t="s">
        <v>3413</v>
      </c>
      <c r="E515" s="243">
        <v>15000000</v>
      </c>
    </row>
    <row r="516" spans="2:5" ht="15" x14ac:dyDescent="0.2">
      <c r="B516" s="237">
        <f t="shared" si="7"/>
        <v>512</v>
      </c>
      <c r="C516" s="237" t="s">
        <v>637</v>
      </c>
      <c r="D516" s="237" t="s">
        <v>3414</v>
      </c>
      <c r="E516" s="243">
        <v>15000000</v>
      </c>
    </row>
    <row r="517" spans="2:5" ht="15" x14ac:dyDescent="0.2">
      <c r="B517" s="237">
        <f t="shared" si="7"/>
        <v>513</v>
      </c>
      <c r="C517" s="237" t="s">
        <v>666</v>
      </c>
      <c r="D517" s="237" t="s">
        <v>3413</v>
      </c>
      <c r="E517" s="243">
        <v>15000000</v>
      </c>
    </row>
    <row r="518" spans="2:5" ht="15" x14ac:dyDescent="0.2">
      <c r="B518" s="237">
        <f t="shared" ref="B518:B581" si="8">B517+1</f>
        <v>514</v>
      </c>
      <c r="C518" s="237" t="s">
        <v>552</v>
      </c>
      <c r="D518" s="237" t="s">
        <v>3413</v>
      </c>
      <c r="E518" s="243">
        <v>15000000</v>
      </c>
    </row>
    <row r="519" spans="2:5" ht="15" x14ac:dyDescent="0.2">
      <c r="B519" s="237">
        <f t="shared" si="8"/>
        <v>515</v>
      </c>
      <c r="C519" s="237" t="s">
        <v>3531</v>
      </c>
      <c r="D519" s="237" t="s">
        <v>3413</v>
      </c>
      <c r="E519" s="243">
        <v>15000000</v>
      </c>
    </row>
    <row r="520" spans="2:5" ht="15" x14ac:dyDescent="0.2">
      <c r="B520" s="237">
        <f t="shared" si="8"/>
        <v>516</v>
      </c>
      <c r="C520" s="237" t="s">
        <v>3532</v>
      </c>
      <c r="D520" s="237" t="s">
        <v>3413</v>
      </c>
      <c r="E520" s="243">
        <v>14995000</v>
      </c>
    </row>
    <row r="521" spans="2:5" ht="15" x14ac:dyDescent="0.2">
      <c r="B521" s="237">
        <f t="shared" si="8"/>
        <v>517</v>
      </c>
      <c r="C521" s="237" t="s">
        <v>3533</v>
      </c>
      <c r="D521" s="237" t="s">
        <v>3413</v>
      </c>
      <c r="E521" s="243">
        <v>14986431</v>
      </c>
    </row>
    <row r="522" spans="2:5" ht="15" x14ac:dyDescent="0.2">
      <c r="B522" s="237">
        <f t="shared" si="8"/>
        <v>518</v>
      </c>
      <c r="C522" s="237" t="s">
        <v>3534</v>
      </c>
      <c r="D522" s="237" t="s">
        <v>3413</v>
      </c>
      <c r="E522" s="243">
        <v>14937000</v>
      </c>
    </row>
    <row r="523" spans="2:5" ht="15" x14ac:dyDescent="0.2">
      <c r="B523" s="237">
        <f t="shared" si="8"/>
        <v>519</v>
      </c>
      <c r="C523" s="237" t="s">
        <v>3535</v>
      </c>
      <c r="D523" s="237" t="s">
        <v>3413</v>
      </c>
      <c r="E523" s="243">
        <v>14937000</v>
      </c>
    </row>
    <row r="524" spans="2:5" ht="15" x14ac:dyDescent="0.2">
      <c r="B524" s="237">
        <f t="shared" si="8"/>
        <v>520</v>
      </c>
      <c r="C524" s="237" t="s">
        <v>3536</v>
      </c>
      <c r="D524" s="237" t="s">
        <v>3413</v>
      </c>
      <c r="E524" s="243">
        <v>14923806</v>
      </c>
    </row>
    <row r="525" spans="2:5" ht="15" x14ac:dyDescent="0.2">
      <c r="B525" s="237">
        <f t="shared" si="8"/>
        <v>521</v>
      </c>
      <c r="C525" s="237" t="s">
        <v>3537</v>
      </c>
      <c r="D525" s="237" t="s">
        <v>3413</v>
      </c>
      <c r="E525" s="243">
        <v>14903741</v>
      </c>
    </row>
    <row r="526" spans="2:5" ht="15" x14ac:dyDescent="0.2">
      <c r="B526" s="237">
        <f t="shared" si="8"/>
        <v>522</v>
      </c>
      <c r="C526" s="237" t="s">
        <v>435</v>
      </c>
      <c r="D526" s="237" t="s">
        <v>3413</v>
      </c>
      <c r="E526" s="243">
        <v>14903741</v>
      </c>
    </row>
    <row r="527" spans="2:5" ht="15" x14ac:dyDescent="0.2">
      <c r="B527" s="237">
        <f t="shared" si="8"/>
        <v>523</v>
      </c>
      <c r="C527" s="237" t="s">
        <v>3538</v>
      </c>
      <c r="D527" s="237" t="s">
        <v>3413</v>
      </c>
      <c r="E527" s="243">
        <v>14850000</v>
      </c>
    </row>
    <row r="528" spans="2:5" ht="15" x14ac:dyDescent="0.2">
      <c r="B528" s="237">
        <f t="shared" si="8"/>
        <v>524</v>
      </c>
      <c r="C528" s="237" t="s">
        <v>3539</v>
      </c>
      <c r="D528" s="237" t="s">
        <v>3413</v>
      </c>
      <c r="E528" s="243">
        <v>14835000</v>
      </c>
    </row>
    <row r="529" spans="2:5" ht="15" x14ac:dyDescent="0.2">
      <c r="B529" s="237">
        <f t="shared" si="8"/>
        <v>525</v>
      </c>
      <c r="C529" s="237" t="s">
        <v>436</v>
      </c>
      <c r="D529" s="237" t="s">
        <v>3413</v>
      </c>
      <c r="E529" s="243">
        <v>14817952</v>
      </c>
    </row>
    <row r="530" spans="2:5" ht="15" x14ac:dyDescent="0.2">
      <c r="B530" s="237">
        <f t="shared" si="8"/>
        <v>526</v>
      </c>
      <c r="C530" s="237" t="s">
        <v>667</v>
      </c>
      <c r="D530" s="237" t="s">
        <v>3413</v>
      </c>
      <c r="E530" s="243">
        <v>14817952</v>
      </c>
    </row>
    <row r="531" spans="2:5" ht="15" x14ac:dyDescent="0.2">
      <c r="B531" s="237">
        <f t="shared" si="8"/>
        <v>527</v>
      </c>
      <c r="C531" s="237" t="s">
        <v>437</v>
      </c>
      <c r="D531" s="237" t="s">
        <v>3413</v>
      </c>
      <c r="E531" s="243">
        <v>14817952</v>
      </c>
    </row>
    <row r="532" spans="2:5" ht="15" x14ac:dyDescent="0.2">
      <c r="B532" s="237">
        <f t="shared" si="8"/>
        <v>528</v>
      </c>
      <c r="C532" s="237" t="s">
        <v>3540</v>
      </c>
      <c r="D532" s="237" t="s">
        <v>3413</v>
      </c>
      <c r="E532" s="243">
        <v>14763181</v>
      </c>
    </row>
    <row r="533" spans="2:5" ht="15" x14ac:dyDescent="0.2">
      <c r="B533" s="237">
        <f t="shared" si="8"/>
        <v>529</v>
      </c>
      <c r="C533" s="237" t="s">
        <v>3541</v>
      </c>
      <c r="D533" s="237" t="s">
        <v>3413</v>
      </c>
      <c r="E533" s="243">
        <v>14734723</v>
      </c>
    </row>
    <row r="534" spans="2:5" ht="15" x14ac:dyDescent="0.2">
      <c r="B534" s="237">
        <f t="shared" si="8"/>
        <v>530</v>
      </c>
      <c r="C534" s="237" t="s">
        <v>3542</v>
      </c>
      <c r="D534" s="237" t="s">
        <v>3413</v>
      </c>
      <c r="E534" s="243">
        <v>14725254</v>
      </c>
    </row>
    <row r="535" spans="2:5" ht="15" x14ac:dyDescent="0.2">
      <c r="B535" s="237">
        <f t="shared" si="8"/>
        <v>531</v>
      </c>
      <c r="C535" s="237" t="s">
        <v>3543</v>
      </c>
      <c r="D535" s="237" t="s">
        <v>3413</v>
      </c>
      <c r="E535" s="243">
        <v>14723469</v>
      </c>
    </row>
    <row r="536" spans="2:5" ht="15" x14ac:dyDescent="0.2">
      <c r="B536" s="237">
        <f t="shared" si="8"/>
        <v>532</v>
      </c>
      <c r="C536" s="237" t="s">
        <v>3544</v>
      </c>
      <c r="D536" s="237" t="s">
        <v>3413</v>
      </c>
      <c r="E536" s="243">
        <v>14700138</v>
      </c>
    </row>
    <row r="537" spans="2:5" ht="15" x14ac:dyDescent="0.2">
      <c r="B537" s="237">
        <f t="shared" si="8"/>
        <v>533</v>
      </c>
      <c r="C537" s="237" t="s">
        <v>3545</v>
      </c>
      <c r="D537" s="237" t="s">
        <v>3413</v>
      </c>
      <c r="E537" s="243">
        <v>14700138</v>
      </c>
    </row>
    <row r="538" spans="2:5" ht="15" x14ac:dyDescent="0.2">
      <c r="B538" s="237">
        <f t="shared" si="8"/>
        <v>534</v>
      </c>
      <c r="C538" s="237" t="s">
        <v>3546</v>
      </c>
      <c r="D538" s="237" t="s">
        <v>3413</v>
      </c>
      <c r="E538" s="243">
        <v>14700000</v>
      </c>
    </row>
    <row r="539" spans="2:5" ht="15" x14ac:dyDescent="0.2">
      <c r="B539" s="237">
        <f t="shared" si="8"/>
        <v>535</v>
      </c>
      <c r="C539" s="237" t="s">
        <v>3547</v>
      </c>
      <c r="D539" s="237" t="s">
        <v>3413</v>
      </c>
      <c r="E539" s="243">
        <v>14700000</v>
      </c>
    </row>
    <row r="540" spans="2:5" ht="15" x14ac:dyDescent="0.2">
      <c r="B540" s="237">
        <f t="shared" si="8"/>
        <v>536</v>
      </c>
      <c r="C540" s="237" t="s">
        <v>3548</v>
      </c>
      <c r="D540" s="237" t="s">
        <v>3413</v>
      </c>
      <c r="E540" s="243">
        <v>14666892</v>
      </c>
    </row>
    <row r="541" spans="2:5" ht="15" x14ac:dyDescent="0.2">
      <c r="B541" s="237">
        <f t="shared" si="8"/>
        <v>537</v>
      </c>
      <c r="C541" s="237" t="s">
        <v>3549</v>
      </c>
      <c r="D541" s="237" t="s">
        <v>3413</v>
      </c>
      <c r="E541" s="243">
        <v>14665029</v>
      </c>
    </row>
    <row r="542" spans="2:5" ht="15" x14ac:dyDescent="0.2">
      <c r="B542" s="237">
        <f t="shared" si="8"/>
        <v>538</v>
      </c>
      <c r="C542" s="237" t="s">
        <v>3550</v>
      </c>
      <c r="D542" s="237" t="s">
        <v>3413</v>
      </c>
      <c r="E542" s="243">
        <v>14663569</v>
      </c>
    </row>
    <row r="543" spans="2:5" ht="15" x14ac:dyDescent="0.2">
      <c r="B543" s="237">
        <f t="shared" si="8"/>
        <v>539</v>
      </c>
      <c r="C543" s="237" t="s">
        <v>3551</v>
      </c>
      <c r="D543" s="237" t="s">
        <v>3413</v>
      </c>
      <c r="E543" s="243">
        <v>14663569</v>
      </c>
    </row>
    <row r="544" spans="2:5" ht="15" x14ac:dyDescent="0.2">
      <c r="B544" s="237">
        <f t="shared" si="8"/>
        <v>540</v>
      </c>
      <c r="C544" s="237" t="s">
        <v>3552</v>
      </c>
      <c r="D544" s="237" t="s">
        <v>3413</v>
      </c>
      <c r="E544" s="243">
        <v>14657939</v>
      </c>
    </row>
    <row r="545" spans="2:5" ht="15" x14ac:dyDescent="0.2">
      <c r="B545" s="237">
        <f t="shared" si="8"/>
        <v>541</v>
      </c>
      <c r="C545" s="237" t="s">
        <v>3553</v>
      </c>
      <c r="D545" s="237" t="s">
        <v>3413</v>
      </c>
      <c r="E545" s="243">
        <v>14652915</v>
      </c>
    </row>
    <row r="546" spans="2:5" ht="15" x14ac:dyDescent="0.2">
      <c r="B546" s="237">
        <f t="shared" si="8"/>
        <v>542</v>
      </c>
      <c r="C546" s="237" t="s">
        <v>3554</v>
      </c>
      <c r="D546" s="237" t="s">
        <v>3413</v>
      </c>
      <c r="E546" s="243">
        <v>14647809</v>
      </c>
    </row>
    <row r="547" spans="2:5" ht="15" x14ac:dyDescent="0.2">
      <c r="B547" s="237">
        <f t="shared" si="8"/>
        <v>543</v>
      </c>
      <c r="C547" s="237" t="s">
        <v>3555</v>
      </c>
      <c r="D547" s="237" t="s">
        <v>3413</v>
      </c>
      <c r="E547" s="243">
        <v>14645000</v>
      </c>
    </row>
    <row r="548" spans="2:5" ht="15" x14ac:dyDescent="0.2">
      <c r="B548" s="237">
        <f t="shared" si="8"/>
        <v>544</v>
      </c>
      <c r="C548" s="237" t="s">
        <v>3556</v>
      </c>
      <c r="D548" s="237" t="s">
        <v>3413</v>
      </c>
      <c r="E548" s="243">
        <v>14640000</v>
      </c>
    </row>
    <row r="549" spans="2:5" ht="15" x14ac:dyDescent="0.2">
      <c r="B549" s="237">
        <f t="shared" si="8"/>
        <v>545</v>
      </c>
      <c r="C549" s="237" t="s">
        <v>3557</v>
      </c>
      <c r="D549" s="237" t="s">
        <v>3413</v>
      </c>
      <c r="E549" s="243">
        <v>14638209</v>
      </c>
    </row>
    <row r="550" spans="2:5" ht="15" x14ac:dyDescent="0.2">
      <c r="B550" s="237">
        <f t="shared" si="8"/>
        <v>546</v>
      </c>
      <c r="C550" s="237" t="s">
        <v>3558</v>
      </c>
      <c r="D550" s="237" t="s">
        <v>3413</v>
      </c>
      <c r="E550" s="243">
        <v>14636885</v>
      </c>
    </row>
    <row r="551" spans="2:5" ht="15" x14ac:dyDescent="0.2">
      <c r="B551" s="237">
        <f t="shared" si="8"/>
        <v>547</v>
      </c>
      <c r="C551" s="237" t="s">
        <v>3559</v>
      </c>
      <c r="D551" s="237" t="s">
        <v>3413</v>
      </c>
      <c r="E551" s="243">
        <v>14634790</v>
      </c>
    </row>
    <row r="552" spans="2:5" ht="15" x14ac:dyDescent="0.2">
      <c r="B552" s="237">
        <f t="shared" si="8"/>
        <v>548</v>
      </c>
      <c r="C552" s="237" t="s">
        <v>3560</v>
      </c>
      <c r="D552" s="237" t="s">
        <v>3413</v>
      </c>
      <c r="E552" s="243">
        <v>14634790</v>
      </c>
    </row>
    <row r="553" spans="2:5" ht="15" x14ac:dyDescent="0.2">
      <c r="B553" s="237">
        <f t="shared" si="8"/>
        <v>549</v>
      </c>
      <c r="C553" s="237" t="s">
        <v>3561</v>
      </c>
      <c r="D553" s="237" t="s">
        <v>3413</v>
      </c>
      <c r="E553" s="243">
        <v>14634790</v>
      </c>
    </row>
    <row r="554" spans="2:5" ht="15" x14ac:dyDescent="0.2">
      <c r="B554" s="237">
        <f t="shared" si="8"/>
        <v>550</v>
      </c>
      <c r="C554" s="237" t="s">
        <v>3562</v>
      </c>
      <c r="D554" s="237" t="s">
        <v>3413</v>
      </c>
      <c r="E554" s="243">
        <v>14632964</v>
      </c>
    </row>
    <row r="555" spans="2:5" ht="15" x14ac:dyDescent="0.2">
      <c r="B555" s="237">
        <f t="shared" si="8"/>
        <v>551</v>
      </c>
      <c r="C555" s="237" t="s">
        <v>3563</v>
      </c>
      <c r="D555" s="237" t="s">
        <v>3413</v>
      </c>
      <c r="E555" s="243">
        <v>14629500</v>
      </c>
    </row>
    <row r="556" spans="2:5" ht="15" x14ac:dyDescent="0.2">
      <c r="B556" s="237">
        <f t="shared" si="8"/>
        <v>552</v>
      </c>
      <c r="C556" s="237" t="s">
        <v>3564</v>
      </c>
      <c r="D556" s="237" t="s">
        <v>3413</v>
      </c>
      <c r="E556" s="243">
        <v>14627727</v>
      </c>
    </row>
    <row r="557" spans="2:5" ht="15" x14ac:dyDescent="0.2">
      <c r="B557" s="237">
        <f t="shared" si="8"/>
        <v>553</v>
      </c>
      <c r="C557" s="237" t="s">
        <v>3565</v>
      </c>
      <c r="D557" s="237" t="s">
        <v>3413</v>
      </c>
      <c r="E557" s="243">
        <v>14627275</v>
      </c>
    </row>
    <row r="558" spans="2:5" ht="15" x14ac:dyDescent="0.2">
      <c r="B558" s="237">
        <f t="shared" si="8"/>
        <v>554</v>
      </c>
      <c r="C558" s="237" t="s">
        <v>3566</v>
      </c>
      <c r="D558" s="237" t="s">
        <v>3413</v>
      </c>
      <c r="E558" s="243">
        <v>14627275</v>
      </c>
    </row>
    <row r="559" spans="2:5" ht="15" x14ac:dyDescent="0.2">
      <c r="B559" s="237">
        <f t="shared" si="8"/>
        <v>555</v>
      </c>
      <c r="C559" s="237" t="s">
        <v>158</v>
      </c>
      <c r="D559" s="237" t="s">
        <v>3413</v>
      </c>
      <c r="E559" s="243">
        <v>14626931</v>
      </c>
    </row>
    <row r="560" spans="2:5" ht="15" x14ac:dyDescent="0.2">
      <c r="B560" s="237">
        <f t="shared" si="8"/>
        <v>556</v>
      </c>
      <c r="C560" s="237" t="s">
        <v>421</v>
      </c>
      <c r="D560" s="237" t="s">
        <v>3413</v>
      </c>
      <c r="E560" s="243">
        <v>14624738</v>
      </c>
    </row>
    <row r="561" spans="2:5" ht="15" x14ac:dyDescent="0.2">
      <c r="B561" s="237">
        <f t="shared" si="8"/>
        <v>557</v>
      </c>
      <c r="C561" s="237" t="s">
        <v>439</v>
      </c>
      <c r="D561" s="237" t="s">
        <v>3413</v>
      </c>
      <c r="E561" s="243">
        <v>14623486</v>
      </c>
    </row>
    <row r="562" spans="2:5" ht="15" x14ac:dyDescent="0.2">
      <c r="B562" s="237">
        <f t="shared" si="8"/>
        <v>558</v>
      </c>
      <c r="C562" s="237" t="s">
        <v>3567</v>
      </c>
      <c r="D562" s="237" t="s">
        <v>3413</v>
      </c>
      <c r="E562" s="243">
        <v>14621581</v>
      </c>
    </row>
    <row r="563" spans="2:5" ht="15" x14ac:dyDescent="0.2">
      <c r="B563" s="237">
        <f t="shared" si="8"/>
        <v>559</v>
      </c>
      <c r="C563" s="237" t="s">
        <v>3568</v>
      </c>
      <c r="D563" s="237" t="s">
        <v>3413</v>
      </c>
      <c r="E563" s="243">
        <v>14620000</v>
      </c>
    </row>
    <row r="564" spans="2:5" ht="15" x14ac:dyDescent="0.2">
      <c r="B564" s="237">
        <f t="shared" si="8"/>
        <v>560</v>
      </c>
      <c r="C564" s="237" t="s">
        <v>3569</v>
      </c>
      <c r="D564" s="237" t="s">
        <v>3413</v>
      </c>
      <c r="E564" s="243">
        <v>14617625</v>
      </c>
    </row>
    <row r="565" spans="2:5" ht="15" x14ac:dyDescent="0.2">
      <c r="B565" s="237">
        <f t="shared" si="8"/>
        <v>561</v>
      </c>
      <c r="C565" s="237" t="s">
        <v>3570</v>
      </c>
      <c r="D565" s="237" t="s">
        <v>3413</v>
      </c>
      <c r="E565" s="243">
        <v>14617500</v>
      </c>
    </row>
    <row r="566" spans="2:5" ht="15" x14ac:dyDescent="0.2">
      <c r="B566" s="237">
        <f t="shared" si="8"/>
        <v>562</v>
      </c>
      <c r="C566" s="237" t="s">
        <v>3571</v>
      </c>
      <c r="D566" s="237" t="s">
        <v>3413</v>
      </c>
      <c r="E566" s="243">
        <v>14613000</v>
      </c>
    </row>
    <row r="567" spans="2:5" ht="15" x14ac:dyDescent="0.2">
      <c r="B567" s="237">
        <f t="shared" si="8"/>
        <v>563</v>
      </c>
      <c r="C567" s="237" t="s">
        <v>3572</v>
      </c>
      <c r="D567" s="237" t="s">
        <v>3413</v>
      </c>
      <c r="E567" s="243">
        <v>14612219</v>
      </c>
    </row>
    <row r="568" spans="2:5" ht="15" x14ac:dyDescent="0.2">
      <c r="B568" s="237">
        <f t="shared" si="8"/>
        <v>564</v>
      </c>
      <c r="C568" s="237" t="s">
        <v>3573</v>
      </c>
      <c r="D568" s="237" t="s">
        <v>3413</v>
      </c>
      <c r="E568" s="243">
        <v>14612210</v>
      </c>
    </row>
    <row r="569" spans="2:5" ht="15" x14ac:dyDescent="0.2">
      <c r="B569" s="237">
        <f t="shared" si="8"/>
        <v>565</v>
      </c>
      <c r="C569" s="237" t="s">
        <v>3574</v>
      </c>
      <c r="D569" s="237" t="s">
        <v>3413</v>
      </c>
      <c r="E569" s="243">
        <v>14612000</v>
      </c>
    </row>
    <row r="570" spans="2:5" ht="15" x14ac:dyDescent="0.2">
      <c r="B570" s="237">
        <f t="shared" si="8"/>
        <v>566</v>
      </c>
      <c r="C570" s="237" t="s">
        <v>3575</v>
      </c>
      <c r="D570" s="237" t="s">
        <v>3413</v>
      </c>
      <c r="E570" s="243">
        <v>14602500</v>
      </c>
    </row>
    <row r="571" spans="2:5" ht="15" x14ac:dyDescent="0.2">
      <c r="B571" s="237">
        <f t="shared" si="8"/>
        <v>567</v>
      </c>
      <c r="C571" s="237" t="s">
        <v>3576</v>
      </c>
      <c r="D571" s="237" t="s">
        <v>3413</v>
      </c>
      <c r="E571" s="243">
        <v>14601211</v>
      </c>
    </row>
    <row r="572" spans="2:5" ht="15" x14ac:dyDescent="0.2">
      <c r="B572" s="237">
        <f t="shared" si="8"/>
        <v>568</v>
      </c>
      <c r="C572" s="237" t="s">
        <v>3577</v>
      </c>
      <c r="D572" s="237" t="s">
        <v>3413</v>
      </c>
      <c r="E572" s="243">
        <v>14597461</v>
      </c>
    </row>
    <row r="573" spans="2:5" ht="15" x14ac:dyDescent="0.2">
      <c r="B573" s="237">
        <f t="shared" si="8"/>
        <v>569</v>
      </c>
      <c r="C573" s="237" t="s">
        <v>3578</v>
      </c>
      <c r="D573" s="237" t="s">
        <v>3413</v>
      </c>
      <c r="E573" s="243">
        <v>14591972</v>
      </c>
    </row>
    <row r="574" spans="2:5" ht="15" x14ac:dyDescent="0.2">
      <c r="B574" s="237">
        <f t="shared" si="8"/>
        <v>570</v>
      </c>
      <c r="C574" s="237" t="s">
        <v>3579</v>
      </c>
      <c r="D574" s="237" t="s">
        <v>3413</v>
      </c>
      <c r="E574" s="243">
        <v>14585000</v>
      </c>
    </row>
    <row r="575" spans="2:5" ht="15" x14ac:dyDescent="0.2">
      <c r="B575" s="237">
        <f t="shared" si="8"/>
        <v>571</v>
      </c>
      <c r="C575" s="237" t="s">
        <v>3580</v>
      </c>
      <c r="D575" s="237" t="s">
        <v>3413</v>
      </c>
      <c r="E575" s="243">
        <v>14585000</v>
      </c>
    </row>
    <row r="576" spans="2:5" ht="15" x14ac:dyDescent="0.2">
      <c r="B576" s="237">
        <f t="shared" si="8"/>
        <v>572</v>
      </c>
      <c r="C576" s="237" t="s">
        <v>3581</v>
      </c>
      <c r="D576" s="237" t="s">
        <v>3413</v>
      </c>
      <c r="E576" s="243">
        <v>14572854</v>
      </c>
    </row>
    <row r="577" spans="2:5" ht="15" x14ac:dyDescent="0.2">
      <c r="B577" s="237">
        <f t="shared" si="8"/>
        <v>573</v>
      </c>
      <c r="C577" s="237" t="s">
        <v>3582</v>
      </c>
      <c r="D577" s="237" t="s">
        <v>3413</v>
      </c>
      <c r="E577" s="243">
        <v>14572000</v>
      </c>
    </row>
    <row r="578" spans="2:5" ht="15" x14ac:dyDescent="0.2">
      <c r="B578" s="237">
        <f t="shared" si="8"/>
        <v>574</v>
      </c>
      <c r="C578" s="237" t="s">
        <v>3583</v>
      </c>
      <c r="D578" s="237" t="s">
        <v>3413</v>
      </c>
      <c r="E578" s="243">
        <v>14571000</v>
      </c>
    </row>
    <row r="579" spans="2:5" ht="15" x14ac:dyDescent="0.2">
      <c r="B579" s="237">
        <f t="shared" si="8"/>
        <v>575</v>
      </c>
      <c r="C579" s="237" t="s">
        <v>3584</v>
      </c>
      <c r="D579" s="237" t="s">
        <v>3413</v>
      </c>
      <c r="E579" s="243">
        <v>14566500</v>
      </c>
    </row>
    <row r="580" spans="2:5" ht="15" x14ac:dyDescent="0.2">
      <c r="B580" s="237">
        <f t="shared" si="8"/>
        <v>576</v>
      </c>
      <c r="C580" s="237" t="s">
        <v>3585</v>
      </c>
      <c r="D580" s="237" t="s">
        <v>3413</v>
      </c>
      <c r="E580" s="243">
        <v>14563893</v>
      </c>
    </row>
    <row r="581" spans="2:5" ht="15" x14ac:dyDescent="0.2">
      <c r="B581" s="237">
        <f t="shared" si="8"/>
        <v>577</v>
      </c>
      <c r="C581" s="237" t="s">
        <v>3586</v>
      </c>
      <c r="D581" s="237" t="s">
        <v>3413</v>
      </c>
      <c r="E581" s="243">
        <v>14557425</v>
      </c>
    </row>
    <row r="582" spans="2:5" ht="15" x14ac:dyDescent="0.2">
      <c r="B582" s="237">
        <f t="shared" ref="B582:B645" si="9">B581+1</f>
        <v>578</v>
      </c>
      <c r="C582" s="237" t="s">
        <v>3587</v>
      </c>
      <c r="D582" s="237" t="s">
        <v>3413</v>
      </c>
      <c r="E582" s="243">
        <v>14557196</v>
      </c>
    </row>
    <row r="583" spans="2:5" ht="15" x14ac:dyDescent="0.2">
      <c r="B583" s="237">
        <f t="shared" si="9"/>
        <v>579</v>
      </c>
      <c r="C583" s="237" t="s">
        <v>3588</v>
      </c>
      <c r="D583" s="237" t="s">
        <v>3413</v>
      </c>
      <c r="E583" s="243">
        <v>14555000</v>
      </c>
    </row>
    <row r="584" spans="2:5" ht="15" x14ac:dyDescent="0.2">
      <c r="B584" s="237">
        <f t="shared" si="9"/>
        <v>580</v>
      </c>
      <c r="C584" s="237" t="s">
        <v>3589</v>
      </c>
      <c r="D584" s="237" t="s">
        <v>3413</v>
      </c>
      <c r="E584" s="243">
        <v>14550055</v>
      </c>
    </row>
    <row r="585" spans="2:5" ht="15" x14ac:dyDescent="0.2">
      <c r="B585" s="237">
        <f t="shared" si="9"/>
        <v>581</v>
      </c>
      <c r="C585" s="237" t="s">
        <v>3590</v>
      </c>
      <c r="D585" s="237" t="s">
        <v>3413</v>
      </c>
      <c r="E585" s="243">
        <v>14491089</v>
      </c>
    </row>
    <row r="586" spans="2:5" ht="15" x14ac:dyDescent="0.2">
      <c r="B586" s="237">
        <f t="shared" si="9"/>
        <v>582</v>
      </c>
      <c r="C586" s="237" t="s">
        <v>3591</v>
      </c>
      <c r="D586" s="237" t="s">
        <v>3413</v>
      </c>
      <c r="E586" s="243">
        <v>14491089</v>
      </c>
    </row>
    <row r="587" spans="2:5" ht="15" x14ac:dyDescent="0.2">
      <c r="B587" s="237">
        <f t="shared" si="9"/>
        <v>583</v>
      </c>
      <c r="C587" s="237" t="s">
        <v>3592</v>
      </c>
      <c r="D587" s="237" t="s">
        <v>3413</v>
      </c>
      <c r="E587" s="243">
        <v>14470500</v>
      </c>
    </row>
    <row r="588" spans="2:5" ht="15" x14ac:dyDescent="0.2">
      <c r="B588" s="237">
        <f t="shared" si="9"/>
        <v>584</v>
      </c>
      <c r="C588" s="237" t="s">
        <v>3593</v>
      </c>
      <c r="D588" s="237" t="s">
        <v>3413</v>
      </c>
      <c r="E588" s="243">
        <v>14470319</v>
      </c>
    </row>
    <row r="589" spans="2:5" ht="15" x14ac:dyDescent="0.2">
      <c r="B589" s="237">
        <f t="shared" si="9"/>
        <v>585</v>
      </c>
      <c r="C589" s="237" t="s">
        <v>3594</v>
      </c>
      <c r="D589" s="237" t="s">
        <v>3413</v>
      </c>
      <c r="E589" s="243">
        <v>14455000</v>
      </c>
    </row>
    <row r="590" spans="2:5" ht="15" x14ac:dyDescent="0.2">
      <c r="B590" s="237">
        <f t="shared" si="9"/>
        <v>586</v>
      </c>
      <c r="C590" s="237" t="s">
        <v>3595</v>
      </c>
      <c r="D590" s="237" t="s">
        <v>3413</v>
      </c>
      <c r="E590" s="243">
        <v>14394528</v>
      </c>
    </row>
    <row r="591" spans="2:5" ht="15" x14ac:dyDescent="0.2">
      <c r="B591" s="237">
        <f t="shared" si="9"/>
        <v>587</v>
      </c>
      <c r="C591" s="237" t="s">
        <v>3596</v>
      </c>
      <c r="D591" s="237" t="s">
        <v>3413</v>
      </c>
      <c r="E591" s="243">
        <v>14380000</v>
      </c>
    </row>
    <row r="592" spans="2:5" ht="15" x14ac:dyDescent="0.2">
      <c r="B592" s="237">
        <f t="shared" si="9"/>
        <v>588</v>
      </c>
      <c r="C592" s="237" t="s">
        <v>3597</v>
      </c>
      <c r="D592" s="237" t="s">
        <v>3413</v>
      </c>
      <c r="E592" s="243">
        <v>14379000</v>
      </c>
    </row>
    <row r="593" spans="2:5" ht="15" x14ac:dyDescent="0.2">
      <c r="B593" s="237">
        <f t="shared" si="9"/>
        <v>589</v>
      </c>
      <c r="C593" s="237" t="s">
        <v>3598</v>
      </c>
      <c r="D593" s="237" t="s">
        <v>3413</v>
      </c>
      <c r="E593" s="243">
        <v>14371500</v>
      </c>
    </row>
    <row r="594" spans="2:5" ht="15" x14ac:dyDescent="0.2">
      <c r="B594" s="237">
        <f t="shared" si="9"/>
        <v>590</v>
      </c>
      <c r="C594" s="237" t="s">
        <v>3599</v>
      </c>
      <c r="D594" s="237" t="s">
        <v>3413</v>
      </c>
      <c r="E594" s="243">
        <v>14350000</v>
      </c>
    </row>
    <row r="595" spans="2:5" ht="15" x14ac:dyDescent="0.2">
      <c r="B595" s="237">
        <f t="shared" si="9"/>
        <v>591</v>
      </c>
      <c r="C595" s="237" t="s">
        <v>3600</v>
      </c>
      <c r="D595" s="237" t="s">
        <v>3413</v>
      </c>
      <c r="E595" s="243">
        <v>14350000</v>
      </c>
    </row>
    <row r="596" spans="2:5" ht="15" x14ac:dyDescent="0.2">
      <c r="B596" s="237">
        <f t="shared" si="9"/>
        <v>592</v>
      </c>
      <c r="C596" s="237" t="s">
        <v>3601</v>
      </c>
      <c r="D596" s="237" t="s">
        <v>3413</v>
      </c>
      <c r="E596" s="243">
        <v>14285289</v>
      </c>
    </row>
    <row r="597" spans="2:5" ht="15" x14ac:dyDescent="0.2">
      <c r="B597" s="237">
        <f t="shared" si="9"/>
        <v>593</v>
      </c>
      <c r="C597" s="237" t="s">
        <v>3602</v>
      </c>
      <c r="D597" s="237" t="s">
        <v>3413</v>
      </c>
      <c r="E597" s="243">
        <v>14237407</v>
      </c>
    </row>
    <row r="598" spans="2:5" ht="15" x14ac:dyDescent="0.2">
      <c r="B598" s="237">
        <f t="shared" si="9"/>
        <v>594</v>
      </c>
      <c r="C598" s="237" t="s">
        <v>3603</v>
      </c>
      <c r="D598" s="237" t="s">
        <v>3413</v>
      </c>
      <c r="E598" s="243">
        <v>14185281</v>
      </c>
    </row>
    <row r="599" spans="2:5" ht="15" x14ac:dyDescent="0.2">
      <c r="B599" s="237">
        <f t="shared" si="9"/>
        <v>595</v>
      </c>
      <c r="C599" s="237" t="s">
        <v>3604</v>
      </c>
      <c r="D599" s="237" t="s">
        <v>3413</v>
      </c>
      <c r="E599" s="243">
        <v>14148844</v>
      </c>
    </row>
    <row r="600" spans="2:5" ht="15" x14ac:dyDescent="0.2">
      <c r="B600" s="237">
        <f t="shared" si="9"/>
        <v>596</v>
      </c>
      <c r="C600" s="237" t="s">
        <v>3605</v>
      </c>
      <c r="D600" s="237" t="s">
        <v>3413</v>
      </c>
      <c r="E600" s="243">
        <v>14101500</v>
      </c>
    </row>
    <row r="601" spans="2:5" ht="15" x14ac:dyDescent="0.2">
      <c r="B601" s="237">
        <f t="shared" si="9"/>
        <v>597</v>
      </c>
      <c r="C601" s="237" t="s">
        <v>3606</v>
      </c>
      <c r="D601" s="237" t="s">
        <v>3413</v>
      </c>
      <c r="E601" s="243">
        <v>14073900</v>
      </c>
    </row>
    <row r="602" spans="2:5" ht="15" x14ac:dyDescent="0.2">
      <c r="B602" s="237">
        <f t="shared" si="9"/>
        <v>598</v>
      </c>
      <c r="C602" s="237" t="s">
        <v>442</v>
      </c>
      <c r="D602" s="237" t="s">
        <v>3413</v>
      </c>
      <c r="E602" s="243">
        <v>14073900</v>
      </c>
    </row>
    <row r="603" spans="2:5" ht="15" x14ac:dyDescent="0.2">
      <c r="B603" s="237">
        <f t="shared" si="9"/>
        <v>599</v>
      </c>
      <c r="C603" s="237" t="s">
        <v>3607</v>
      </c>
      <c r="D603" s="237" t="s">
        <v>3413</v>
      </c>
      <c r="E603" s="243">
        <v>14000000</v>
      </c>
    </row>
    <row r="604" spans="2:5" ht="15" x14ac:dyDescent="0.2">
      <c r="B604" s="237">
        <f t="shared" si="9"/>
        <v>600</v>
      </c>
      <c r="C604" s="237" t="s">
        <v>443</v>
      </c>
      <c r="D604" s="237" t="s">
        <v>3413</v>
      </c>
      <c r="E604" s="243">
        <v>13991927</v>
      </c>
    </row>
    <row r="605" spans="2:5" ht="15" x14ac:dyDescent="0.2">
      <c r="B605" s="237">
        <f t="shared" si="9"/>
        <v>601</v>
      </c>
      <c r="C605" s="237" t="s">
        <v>459</v>
      </c>
      <c r="D605" s="237" t="s">
        <v>3413</v>
      </c>
      <c r="E605" s="243">
        <v>13971707</v>
      </c>
    </row>
    <row r="606" spans="2:5" ht="15" x14ac:dyDescent="0.2">
      <c r="B606" s="237">
        <f t="shared" si="9"/>
        <v>602</v>
      </c>
      <c r="C606" s="237" t="s">
        <v>444</v>
      </c>
      <c r="D606" s="237" t="s">
        <v>3413</v>
      </c>
      <c r="E606" s="243">
        <v>13945582</v>
      </c>
    </row>
    <row r="607" spans="2:5" ht="15" x14ac:dyDescent="0.2">
      <c r="B607" s="237">
        <f t="shared" si="9"/>
        <v>603</v>
      </c>
      <c r="C607" s="237" t="s">
        <v>445</v>
      </c>
      <c r="D607" s="237" t="s">
        <v>3413</v>
      </c>
      <c r="E607" s="243">
        <v>13821088</v>
      </c>
    </row>
    <row r="608" spans="2:5" ht="15" x14ac:dyDescent="0.2">
      <c r="B608" s="237">
        <f t="shared" si="9"/>
        <v>604</v>
      </c>
      <c r="C608" s="237" t="s">
        <v>3608</v>
      </c>
      <c r="D608" s="237" t="s">
        <v>3413</v>
      </c>
      <c r="E608" s="243">
        <v>13821088</v>
      </c>
    </row>
    <row r="609" spans="2:5" ht="15" x14ac:dyDescent="0.2">
      <c r="B609" s="237">
        <f t="shared" si="9"/>
        <v>605</v>
      </c>
      <c r="C609" s="237" t="s">
        <v>3609</v>
      </c>
      <c r="D609" s="237" t="s">
        <v>3413</v>
      </c>
      <c r="E609" s="243">
        <v>13821088</v>
      </c>
    </row>
    <row r="610" spans="2:5" ht="15" x14ac:dyDescent="0.2">
      <c r="B610" s="237">
        <f t="shared" si="9"/>
        <v>606</v>
      </c>
      <c r="C610" s="237" t="s">
        <v>450</v>
      </c>
      <c r="D610" s="237" t="s">
        <v>3413</v>
      </c>
      <c r="E610" s="243">
        <v>12808578</v>
      </c>
    </row>
    <row r="611" spans="2:5" ht="15" x14ac:dyDescent="0.2">
      <c r="B611" s="237">
        <f t="shared" si="9"/>
        <v>607</v>
      </c>
      <c r="C611" s="237" t="s">
        <v>465</v>
      </c>
      <c r="D611" s="237" t="s">
        <v>3413</v>
      </c>
      <c r="E611" s="243">
        <v>12782099</v>
      </c>
    </row>
    <row r="612" spans="2:5" ht="15" x14ac:dyDescent="0.2">
      <c r="B612" s="237">
        <f t="shared" si="9"/>
        <v>608</v>
      </c>
      <c r="C612" s="237" t="s">
        <v>441</v>
      </c>
      <c r="D612" s="237" t="s">
        <v>3413</v>
      </c>
      <c r="E612" s="243">
        <v>12436123</v>
      </c>
    </row>
    <row r="613" spans="2:5" ht="15" x14ac:dyDescent="0.2">
      <c r="B613" s="237">
        <f t="shared" si="9"/>
        <v>609</v>
      </c>
      <c r="C613" s="237" t="s">
        <v>413</v>
      </c>
      <c r="D613" s="237" t="s">
        <v>3413</v>
      </c>
      <c r="E613" s="243">
        <v>12349260</v>
      </c>
    </row>
    <row r="614" spans="2:5" ht="15" x14ac:dyDescent="0.2">
      <c r="B614" s="237">
        <f t="shared" si="9"/>
        <v>610</v>
      </c>
      <c r="C614" s="237" t="s">
        <v>456</v>
      </c>
      <c r="D614" s="237" t="s">
        <v>3413</v>
      </c>
      <c r="E614" s="243">
        <v>11500000</v>
      </c>
    </row>
    <row r="615" spans="2:5" ht="15" x14ac:dyDescent="0.2">
      <c r="B615" s="237">
        <f t="shared" si="9"/>
        <v>611</v>
      </c>
      <c r="C615" s="237" t="s">
        <v>458</v>
      </c>
      <c r="D615" s="237" t="s">
        <v>3413</v>
      </c>
      <c r="E615" s="243">
        <v>10800000</v>
      </c>
    </row>
    <row r="616" spans="2:5" ht="15" x14ac:dyDescent="0.2">
      <c r="B616" s="237">
        <f t="shared" si="9"/>
        <v>612</v>
      </c>
      <c r="C616" s="237" t="s">
        <v>3610</v>
      </c>
      <c r="D616" s="237" t="s">
        <v>3413</v>
      </c>
      <c r="E616" s="243">
        <v>10260294</v>
      </c>
    </row>
    <row r="617" spans="2:5" ht="15" x14ac:dyDescent="0.2">
      <c r="B617" s="237">
        <f t="shared" si="9"/>
        <v>613</v>
      </c>
      <c r="C617" s="237" t="s">
        <v>461</v>
      </c>
      <c r="D617" s="237" t="s">
        <v>3413</v>
      </c>
      <c r="E617" s="243">
        <v>10000000</v>
      </c>
    </row>
    <row r="618" spans="2:5" ht="15" x14ac:dyDescent="0.2">
      <c r="B618" s="237">
        <f t="shared" si="9"/>
        <v>614</v>
      </c>
      <c r="C618" s="237" t="s">
        <v>3611</v>
      </c>
      <c r="D618" s="237" t="s">
        <v>3413</v>
      </c>
      <c r="E618" s="243">
        <v>10000000</v>
      </c>
    </row>
    <row r="619" spans="2:5" ht="15" x14ac:dyDescent="0.2">
      <c r="B619" s="237">
        <f t="shared" si="9"/>
        <v>615</v>
      </c>
      <c r="C619" s="237" t="s">
        <v>464</v>
      </c>
      <c r="D619" s="237" t="s">
        <v>3413</v>
      </c>
      <c r="E619" s="243">
        <v>10000000</v>
      </c>
    </row>
    <row r="620" spans="2:5" ht="15" x14ac:dyDescent="0.2">
      <c r="B620" s="237">
        <f t="shared" si="9"/>
        <v>616</v>
      </c>
      <c r="C620" s="237" t="s">
        <v>463</v>
      </c>
      <c r="D620" s="237" t="s">
        <v>3413</v>
      </c>
      <c r="E620" s="243">
        <v>10000000</v>
      </c>
    </row>
    <row r="621" spans="2:5" ht="15" x14ac:dyDescent="0.2">
      <c r="B621" s="237">
        <f t="shared" si="9"/>
        <v>617</v>
      </c>
      <c r="C621" s="237" t="s">
        <v>553</v>
      </c>
      <c r="D621" s="237" t="s">
        <v>3413</v>
      </c>
      <c r="E621" s="243">
        <v>10000000</v>
      </c>
    </row>
    <row r="622" spans="2:5" ht="15" x14ac:dyDescent="0.2">
      <c r="B622" s="237">
        <f t="shared" si="9"/>
        <v>618</v>
      </c>
      <c r="C622" s="237" t="s">
        <v>462</v>
      </c>
      <c r="D622" s="237" t="s">
        <v>3413</v>
      </c>
      <c r="E622" s="243">
        <v>10000000</v>
      </c>
    </row>
    <row r="623" spans="2:5" ht="15" x14ac:dyDescent="0.2">
      <c r="B623" s="237">
        <f t="shared" si="9"/>
        <v>619</v>
      </c>
      <c r="C623" s="237" t="s">
        <v>3612</v>
      </c>
      <c r="D623" s="237" t="s">
        <v>3413</v>
      </c>
      <c r="E623" s="243">
        <v>10000000</v>
      </c>
    </row>
    <row r="624" spans="2:5" ht="15" x14ac:dyDescent="0.2">
      <c r="B624" s="237">
        <f t="shared" si="9"/>
        <v>620</v>
      </c>
      <c r="C624" s="237" t="s">
        <v>3613</v>
      </c>
      <c r="D624" s="237" t="s">
        <v>3413</v>
      </c>
      <c r="E624" s="243">
        <v>9889502</v>
      </c>
    </row>
    <row r="625" spans="2:5" ht="15" x14ac:dyDescent="0.2">
      <c r="B625" s="237">
        <f t="shared" si="9"/>
        <v>621</v>
      </c>
      <c r="C625" s="237" t="s">
        <v>3614</v>
      </c>
      <c r="D625" s="237" t="s">
        <v>3413</v>
      </c>
      <c r="E625" s="243">
        <v>9820000</v>
      </c>
    </row>
    <row r="626" spans="2:5" ht="15" x14ac:dyDescent="0.2">
      <c r="B626" s="237">
        <f t="shared" si="9"/>
        <v>622</v>
      </c>
      <c r="C626" s="237" t="s">
        <v>3615</v>
      </c>
      <c r="D626" s="237" t="s">
        <v>3413</v>
      </c>
      <c r="E626" s="243">
        <v>9744818</v>
      </c>
    </row>
    <row r="627" spans="2:5" ht="15" x14ac:dyDescent="0.2">
      <c r="B627" s="237">
        <f t="shared" si="9"/>
        <v>623</v>
      </c>
      <c r="C627" s="237" t="s">
        <v>3616</v>
      </c>
      <c r="D627" s="237" t="s">
        <v>3413</v>
      </c>
      <c r="E627" s="243">
        <v>9710000</v>
      </c>
    </row>
    <row r="628" spans="2:5" ht="15" x14ac:dyDescent="0.2">
      <c r="B628" s="237">
        <f t="shared" si="9"/>
        <v>624</v>
      </c>
      <c r="C628" s="237" t="s">
        <v>474</v>
      </c>
      <c r="D628" s="237" t="s">
        <v>3413</v>
      </c>
      <c r="E628" s="243">
        <v>9678650</v>
      </c>
    </row>
    <row r="629" spans="2:5" ht="15" x14ac:dyDescent="0.2">
      <c r="B629" s="237">
        <f t="shared" si="9"/>
        <v>625</v>
      </c>
      <c r="C629" s="237" t="s">
        <v>3617</v>
      </c>
      <c r="D629" s="237" t="s">
        <v>3413</v>
      </c>
      <c r="E629" s="243">
        <v>9627000</v>
      </c>
    </row>
    <row r="630" spans="2:5" ht="15" x14ac:dyDescent="0.2">
      <c r="B630" s="237">
        <f t="shared" si="9"/>
        <v>626</v>
      </c>
      <c r="C630" s="237" t="s">
        <v>3618</v>
      </c>
      <c r="D630" s="237" t="s">
        <v>3413</v>
      </c>
      <c r="E630" s="243">
        <v>9442000</v>
      </c>
    </row>
    <row r="631" spans="2:5" ht="15" x14ac:dyDescent="0.2">
      <c r="B631" s="237">
        <f t="shared" si="9"/>
        <v>627</v>
      </c>
      <c r="C631" s="237" t="s">
        <v>3619</v>
      </c>
      <c r="D631" s="237" t="s">
        <v>3413</v>
      </c>
      <c r="E631" s="243">
        <v>9322148</v>
      </c>
    </row>
    <row r="632" spans="2:5" ht="15" x14ac:dyDescent="0.2">
      <c r="B632" s="237">
        <f t="shared" si="9"/>
        <v>628</v>
      </c>
      <c r="C632" s="237" t="s">
        <v>668</v>
      </c>
      <c r="D632" s="237" t="s">
        <v>3413</v>
      </c>
      <c r="E632" s="243">
        <v>9000000</v>
      </c>
    </row>
    <row r="633" spans="2:5" ht="15" x14ac:dyDescent="0.2">
      <c r="B633" s="237">
        <f t="shared" si="9"/>
        <v>629</v>
      </c>
      <c r="C633" s="237" t="s">
        <v>467</v>
      </c>
      <c r="D633" s="237" t="s">
        <v>3413</v>
      </c>
      <c r="E633" s="243">
        <v>8764000</v>
      </c>
    </row>
    <row r="634" spans="2:5" ht="15" x14ac:dyDescent="0.2">
      <c r="B634" s="237">
        <f t="shared" si="9"/>
        <v>630</v>
      </c>
      <c r="C634" s="237" t="s">
        <v>471</v>
      </c>
      <c r="D634" s="237" t="s">
        <v>3413</v>
      </c>
      <c r="E634" s="243">
        <v>8337708</v>
      </c>
    </row>
    <row r="635" spans="2:5" ht="15" x14ac:dyDescent="0.2">
      <c r="B635" s="237">
        <f t="shared" si="9"/>
        <v>631</v>
      </c>
      <c r="C635" s="237" t="s">
        <v>481</v>
      </c>
      <c r="D635" s="237" t="s">
        <v>3413</v>
      </c>
      <c r="E635" s="243">
        <v>7275142</v>
      </c>
    </row>
    <row r="636" spans="2:5" ht="15" x14ac:dyDescent="0.2">
      <c r="B636" s="237">
        <f t="shared" si="9"/>
        <v>632</v>
      </c>
      <c r="C636" s="237" t="s">
        <v>3620</v>
      </c>
      <c r="D636" s="237" t="s">
        <v>3413</v>
      </c>
      <c r="E636" s="243">
        <v>7000000</v>
      </c>
    </row>
    <row r="637" spans="2:5" ht="15" x14ac:dyDescent="0.2">
      <c r="B637" s="237">
        <f t="shared" si="9"/>
        <v>633</v>
      </c>
      <c r="C637" s="237" t="s">
        <v>482</v>
      </c>
      <c r="D637" s="237" t="s">
        <v>3413</v>
      </c>
      <c r="E637" s="243">
        <v>6972548</v>
      </c>
    </row>
    <row r="638" spans="2:5" ht="15" x14ac:dyDescent="0.2">
      <c r="B638" s="237">
        <f t="shared" si="9"/>
        <v>634</v>
      </c>
      <c r="C638" s="237" t="s">
        <v>353</v>
      </c>
      <c r="D638" s="237" t="s">
        <v>3413</v>
      </c>
      <c r="E638" s="243">
        <v>6925734</v>
      </c>
    </row>
    <row r="639" spans="2:5" ht="15" x14ac:dyDescent="0.2">
      <c r="B639" s="237">
        <f t="shared" si="9"/>
        <v>635</v>
      </c>
      <c r="C639" s="237" t="s">
        <v>3621</v>
      </c>
      <c r="D639" s="237" t="s">
        <v>3413</v>
      </c>
      <c r="E639" s="243">
        <v>6416460</v>
      </c>
    </row>
    <row r="640" spans="2:5" ht="15" x14ac:dyDescent="0.2">
      <c r="B640" s="237">
        <f t="shared" si="9"/>
        <v>636</v>
      </c>
      <c r="C640" s="237" t="s">
        <v>3622</v>
      </c>
      <c r="D640" s="237" t="s">
        <v>3413</v>
      </c>
      <c r="E640" s="243">
        <v>6321233</v>
      </c>
    </row>
    <row r="641" spans="2:5" ht="15" x14ac:dyDescent="0.2">
      <c r="B641" s="237">
        <f t="shared" si="9"/>
        <v>637</v>
      </c>
      <c r="C641" s="237" t="s">
        <v>3623</v>
      </c>
      <c r="D641" s="237" t="s">
        <v>3413</v>
      </c>
      <c r="E641" s="243">
        <v>5807835</v>
      </c>
    </row>
    <row r="642" spans="2:5" ht="15" x14ac:dyDescent="0.2">
      <c r="B642" s="237">
        <f t="shared" si="9"/>
        <v>638</v>
      </c>
      <c r="C642" s="237" t="s">
        <v>3624</v>
      </c>
      <c r="D642" s="237" t="s">
        <v>3413</v>
      </c>
      <c r="E642" s="243">
        <v>5780171</v>
      </c>
    </row>
    <row r="643" spans="2:5" ht="15" x14ac:dyDescent="0.2">
      <c r="B643" s="237">
        <f t="shared" si="9"/>
        <v>639</v>
      </c>
      <c r="C643" s="237" t="s">
        <v>549</v>
      </c>
      <c r="D643" s="237" t="s">
        <v>3413</v>
      </c>
      <c r="E643" s="243">
        <v>5609259</v>
      </c>
    </row>
    <row r="644" spans="2:5" ht="15" x14ac:dyDescent="0.2">
      <c r="B644" s="237">
        <f t="shared" si="9"/>
        <v>640</v>
      </c>
      <c r="C644" s="237" t="s">
        <v>483</v>
      </c>
      <c r="D644" s="237" t="s">
        <v>3413</v>
      </c>
      <c r="E644" s="243">
        <v>5359784</v>
      </c>
    </row>
    <row r="645" spans="2:5" ht="15" x14ac:dyDescent="0.2">
      <c r="B645" s="237">
        <f t="shared" si="9"/>
        <v>641</v>
      </c>
      <c r="C645" s="237" t="s">
        <v>3625</v>
      </c>
      <c r="D645" s="237" t="s">
        <v>3413</v>
      </c>
      <c r="E645" s="243">
        <v>5267953</v>
      </c>
    </row>
    <row r="646" spans="2:5" ht="15" x14ac:dyDescent="0.2">
      <c r="B646" s="237">
        <f t="shared" ref="B646:B709" si="10">B645+1</f>
        <v>642</v>
      </c>
      <c r="C646" s="237" t="s">
        <v>580</v>
      </c>
      <c r="D646" s="237" t="s">
        <v>3413</v>
      </c>
      <c r="E646" s="243">
        <v>5260000</v>
      </c>
    </row>
    <row r="647" spans="2:5" ht="15" x14ac:dyDescent="0.2">
      <c r="B647" s="237">
        <f t="shared" si="10"/>
        <v>643</v>
      </c>
      <c r="C647" s="237" t="s">
        <v>670</v>
      </c>
      <c r="D647" s="237" t="s">
        <v>3413</v>
      </c>
      <c r="E647" s="243">
        <v>5100000</v>
      </c>
    </row>
    <row r="648" spans="2:5" ht="15" x14ac:dyDescent="0.2">
      <c r="B648" s="237">
        <f t="shared" si="10"/>
        <v>644</v>
      </c>
      <c r="C648" s="237" t="s">
        <v>485</v>
      </c>
      <c r="D648" s="237" t="s">
        <v>3413</v>
      </c>
      <c r="E648" s="243">
        <v>5049600</v>
      </c>
    </row>
    <row r="649" spans="2:5" ht="15" x14ac:dyDescent="0.2">
      <c r="B649" s="237">
        <f t="shared" si="10"/>
        <v>645</v>
      </c>
      <c r="C649" s="237" t="s">
        <v>3626</v>
      </c>
      <c r="D649" s="237" t="s">
        <v>3413</v>
      </c>
      <c r="E649" s="243">
        <v>5045440</v>
      </c>
    </row>
    <row r="650" spans="2:5" ht="15" x14ac:dyDescent="0.2">
      <c r="B650" s="237">
        <f t="shared" si="10"/>
        <v>646</v>
      </c>
      <c r="C650" s="237" t="s">
        <v>3627</v>
      </c>
      <c r="D650" s="237" t="s">
        <v>3413</v>
      </c>
      <c r="E650" s="243">
        <v>5040478</v>
      </c>
    </row>
    <row r="651" spans="2:5" ht="15" x14ac:dyDescent="0.2">
      <c r="B651" s="237">
        <f t="shared" si="10"/>
        <v>647</v>
      </c>
      <c r="C651" s="237" t="s">
        <v>3628</v>
      </c>
      <c r="D651" s="237" t="s">
        <v>3413</v>
      </c>
      <c r="E651" s="243">
        <v>5026213</v>
      </c>
    </row>
    <row r="652" spans="2:5" ht="15" x14ac:dyDescent="0.2">
      <c r="B652" s="237">
        <f t="shared" si="10"/>
        <v>648</v>
      </c>
      <c r="C652" s="237" t="s">
        <v>3629</v>
      </c>
      <c r="D652" s="237" t="s">
        <v>3413</v>
      </c>
      <c r="E652" s="243">
        <v>5000000</v>
      </c>
    </row>
    <row r="653" spans="2:5" ht="15" x14ac:dyDescent="0.2">
      <c r="B653" s="237">
        <f t="shared" si="10"/>
        <v>649</v>
      </c>
      <c r="C653" s="237" t="s">
        <v>489</v>
      </c>
      <c r="D653" s="237" t="s">
        <v>3413</v>
      </c>
      <c r="E653" s="243">
        <v>5000000</v>
      </c>
    </row>
    <row r="654" spans="2:5" ht="15" x14ac:dyDescent="0.2">
      <c r="B654" s="237">
        <f t="shared" si="10"/>
        <v>650</v>
      </c>
      <c r="C654" s="237" t="s">
        <v>488</v>
      </c>
      <c r="D654" s="237" t="s">
        <v>3413</v>
      </c>
      <c r="E654" s="243">
        <v>5000000</v>
      </c>
    </row>
    <row r="655" spans="2:5" ht="15" x14ac:dyDescent="0.2">
      <c r="B655" s="237">
        <f t="shared" si="10"/>
        <v>651</v>
      </c>
      <c r="C655" s="237" t="s">
        <v>487</v>
      </c>
      <c r="D655" s="237" t="s">
        <v>3413</v>
      </c>
      <c r="E655" s="243">
        <v>5000000</v>
      </c>
    </row>
    <row r="656" spans="2:5" ht="15" x14ac:dyDescent="0.2">
      <c r="B656" s="237">
        <f t="shared" si="10"/>
        <v>652</v>
      </c>
      <c r="C656" s="237" t="s">
        <v>490</v>
      </c>
      <c r="D656" s="237" t="s">
        <v>3413</v>
      </c>
      <c r="E656" s="243">
        <v>5000000</v>
      </c>
    </row>
    <row r="657" spans="2:5" ht="15" x14ac:dyDescent="0.2">
      <c r="B657" s="237">
        <f t="shared" si="10"/>
        <v>653</v>
      </c>
      <c r="C657" s="237" t="s">
        <v>478</v>
      </c>
      <c r="D657" s="237" t="s">
        <v>3413</v>
      </c>
      <c r="E657" s="243">
        <v>5000000</v>
      </c>
    </row>
    <row r="658" spans="2:5" ht="15" x14ac:dyDescent="0.2">
      <c r="B658" s="237">
        <f t="shared" si="10"/>
        <v>654</v>
      </c>
      <c r="C658" s="237" t="s">
        <v>516</v>
      </c>
      <c r="D658" s="237" t="s">
        <v>3413</v>
      </c>
      <c r="E658" s="243">
        <v>5000000</v>
      </c>
    </row>
    <row r="659" spans="2:5" ht="15" x14ac:dyDescent="0.2">
      <c r="B659" s="237">
        <f t="shared" si="10"/>
        <v>655</v>
      </c>
      <c r="C659" s="237" t="s">
        <v>514</v>
      </c>
      <c r="D659" s="237" t="s">
        <v>3413</v>
      </c>
      <c r="E659" s="243">
        <v>5000000</v>
      </c>
    </row>
    <row r="660" spans="2:5" ht="15" x14ac:dyDescent="0.2">
      <c r="B660" s="237">
        <f t="shared" si="10"/>
        <v>656</v>
      </c>
      <c r="C660" s="237" t="s">
        <v>479</v>
      </c>
      <c r="D660" s="237" t="s">
        <v>3413</v>
      </c>
      <c r="E660" s="243">
        <v>5000000</v>
      </c>
    </row>
    <row r="661" spans="2:5" ht="15" x14ac:dyDescent="0.2">
      <c r="B661" s="237">
        <f t="shared" si="10"/>
        <v>657</v>
      </c>
      <c r="C661" s="237" t="s">
        <v>480</v>
      </c>
      <c r="D661" s="237" t="s">
        <v>3413</v>
      </c>
      <c r="E661" s="243">
        <v>5000000</v>
      </c>
    </row>
    <row r="662" spans="2:5" ht="15" x14ac:dyDescent="0.2">
      <c r="B662" s="237">
        <f t="shared" si="10"/>
        <v>658</v>
      </c>
      <c r="C662" s="237" t="s">
        <v>530</v>
      </c>
      <c r="D662" s="237" t="s">
        <v>3413</v>
      </c>
      <c r="E662" s="243">
        <v>5000000</v>
      </c>
    </row>
    <row r="663" spans="2:5" ht="15" x14ac:dyDescent="0.2">
      <c r="B663" s="237">
        <f t="shared" si="10"/>
        <v>659</v>
      </c>
      <c r="C663" s="237" t="s">
        <v>538</v>
      </c>
      <c r="D663" s="237" t="s">
        <v>3413</v>
      </c>
      <c r="E663" s="243">
        <v>5000000</v>
      </c>
    </row>
    <row r="664" spans="2:5" ht="15" x14ac:dyDescent="0.2">
      <c r="B664" s="237">
        <f t="shared" si="10"/>
        <v>660</v>
      </c>
      <c r="C664" s="237" t="s">
        <v>486</v>
      </c>
      <c r="D664" s="237" t="s">
        <v>3413</v>
      </c>
      <c r="E664" s="243">
        <v>5000000</v>
      </c>
    </row>
    <row r="665" spans="2:5" ht="15" x14ac:dyDescent="0.2">
      <c r="B665" s="237">
        <f t="shared" si="10"/>
        <v>661</v>
      </c>
      <c r="C665" s="237" t="s">
        <v>544</v>
      </c>
      <c r="D665" s="237" t="s">
        <v>3413</v>
      </c>
      <c r="E665" s="243">
        <v>5000000</v>
      </c>
    </row>
    <row r="666" spans="2:5" ht="15" x14ac:dyDescent="0.2">
      <c r="B666" s="237">
        <f t="shared" si="10"/>
        <v>662</v>
      </c>
      <c r="C666" s="237" t="s">
        <v>517</v>
      </c>
      <c r="D666" s="237" t="s">
        <v>3413</v>
      </c>
      <c r="E666" s="243">
        <v>5000000</v>
      </c>
    </row>
    <row r="667" spans="2:5" ht="15" x14ac:dyDescent="0.2">
      <c r="B667" s="237">
        <f t="shared" si="10"/>
        <v>663</v>
      </c>
      <c r="C667" s="237" t="s">
        <v>495</v>
      </c>
      <c r="D667" s="237" t="s">
        <v>3413</v>
      </c>
      <c r="E667" s="243">
        <v>5000000</v>
      </c>
    </row>
    <row r="668" spans="2:5" ht="15" x14ac:dyDescent="0.2">
      <c r="B668" s="237">
        <f t="shared" si="10"/>
        <v>664</v>
      </c>
      <c r="C668" s="237" t="s">
        <v>519</v>
      </c>
      <c r="D668" s="237" t="s">
        <v>3413</v>
      </c>
      <c r="E668" s="243">
        <v>5000000</v>
      </c>
    </row>
    <row r="669" spans="2:5" ht="15" x14ac:dyDescent="0.2">
      <c r="B669" s="237">
        <f t="shared" si="10"/>
        <v>665</v>
      </c>
      <c r="C669" s="237" t="s">
        <v>503</v>
      </c>
      <c r="D669" s="237" t="s">
        <v>3413</v>
      </c>
      <c r="E669" s="243">
        <v>5000000</v>
      </c>
    </row>
    <row r="670" spans="2:5" ht="15" x14ac:dyDescent="0.2">
      <c r="B670" s="237">
        <f t="shared" si="10"/>
        <v>666</v>
      </c>
      <c r="C670" s="237" t="s">
        <v>545</v>
      </c>
      <c r="D670" s="237" t="s">
        <v>3413</v>
      </c>
      <c r="E670" s="243">
        <v>5000000</v>
      </c>
    </row>
    <row r="671" spans="2:5" ht="15" x14ac:dyDescent="0.2">
      <c r="B671" s="237">
        <f t="shared" si="10"/>
        <v>667</v>
      </c>
      <c r="C671" s="237" t="s">
        <v>520</v>
      </c>
      <c r="D671" s="237" t="s">
        <v>3413</v>
      </c>
      <c r="E671" s="243">
        <v>5000000</v>
      </c>
    </row>
    <row r="672" spans="2:5" ht="15" x14ac:dyDescent="0.2">
      <c r="B672" s="237">
        <f t="shared" si="10"/>
        <v>668</v>
      </c>
      <c r="C672" s="237" t="s">
        <v>494</v>
      </c>
      <c r="D672" s="237" t="s">
        <v>3413</v>
      </c>
      <c r="E672" s="243">
        <v>5000000</v>
      </c>
    </row>
    <row r="673" spans="2:5" ht="15" x14ac:dyDescent="0.2">
      <c r="B673" s="237">
        <f t="shared" si="10"/>
        <v>669</v>
      </c>
      <c r="C673" s="237" t="s">
        <v>518</v>
      </c>
      <c r="D673" s="237" t="s">
        <v>3413</v>
      </c>
      <c r="E673" s="243">
        <v>5000000</v>
      </c>
    </row>
    <row r="674" spans="2:5" ht="15" x14ac:dyDescent="0.2">
      <c r="B674" s="237">
        <f t="shared" si="10"/>
        <v>670</v>
      </c>
      <c r="C674" s="237" t="s">
        <v>537</v>
      </c>
      <c r="D674" s="237" t="s">
        <v>3413</v>
      </c>
      <c r="E674" s="243">
        <v>5000000</v>
      </c>
    </row>
    <row r="675" spans="2:5" ht="15" x14ac:dyDescent="0.2">
      <c r="B675" s="237">
        <f t="shared" si="10"/>
        <v>671</v>
      </c>
      <c r="C675" s="237" t="s">
        <v>546</v>
      </c>
      <c r="D675" s="237" t="s">
        <v>3413</v>
      </c>
      <c r="E675" s="243">
        <v>5000000</v>
      </c>
    </row>
    <row r="676" spans="2:5" ht="15" x14ac:dyDescent="0.2">
      <c r="B676" s="237">
        <f t="shared" si="10"/>
        <v>672</v>
      </c>
      <c r="C676" s="237" t="s">
        <v>496</v>
      </c>
      <c r="D676" s="237" t="s">
        <v>3413</v>
      </c>
      <c r="E676" s="243">
        <v>5000000</v>
      </c>
    </row>
    <row r="677" spans="2:5" ht="15" x14ac:dyDescent="0.2">
      <c r="B677" s="237">
        <f t="shared" si="10"/>
        <v>673</v>
      </c>
      <c r="C677" s="237" t="s">
        <v>542</v>
      </c>
      <c r="D677" s="237" t="s">
        <v>3413</v>
      </c>
      <c r="E677" s="243">
        <v>5000000</v>
      </c>
    </row>
    <row r="678" spans="2:5" ht="15" x14ac:dyDescent="0.2">
      <c r="B678" s="237">
        <f t="shared" si="10"/>
        <v>674</v>
      </c>
      <c r="C678" s="237" t="s">
        <v>533</v>
      </c>
      <c r="D678" s="237" t="s">
        <v>3413</v>
      </c>
      <c r="E678" s="243">
        <v>5000000</v>
      </c>
    </row>
    <row r="679" spans="2:5" ht="15" x14ac:dyDescent="0.2">
      <c r="B679" s="237">
        <f t="shared" si="10"/>
        <v>675</v>
      </c>
      <c r="C679" s="237" t="s">
        <v>499</v>
      </c>
      <c r="D679" s="237" t="s">
        <v>3413</v>
      </c>
      <c r="E679" s="243">
        <v>5000000</v>
      </c>
    </row>
    <row r="680" spans="2:5" ht="15" x14ac:dyDescent="0.2">
      <c r="B680" s="237">
        <f t="shared" si="10"/>
        <v>676</v>
      </c>
      <c r="C680" s="237" t="s">
        <v>510</v>
      </c>
      <c r="D680" s="237" t="s">
        <v>3413</v>
      </c>
      <c r="E680" s="243">
        <v>5000000</v>
      </c>
    </row>
    <row r="681" spans="2:5" ht="15" x14ac:dyDescent="0.2">
      <c r="B681" s="237">
        <f t="shared" si="10"/>
        <v>677</v>
      </c>
      <c r="C681" s="237" t="s">
        <v>540</v>
      </c>
      <c r="D681" s="237" t="s">
        <v>3413</v>
      </c>
      <c r="E681" s="243">
        <v>5000000</v>
      </c>
    </row>
    <row r="682" spans="2:5" ht="15" x14ac:dyDescent="0.2">
      <c r="B682" s="237">
        <f t="shared" si="10"/>
        <v>678</v>
      </c>
      <c r="C682" s="237" t="s">
        <v>541</v>
      </c>
      <c r="D682" s="237" t="s">
        <v>3413</v>
      </c>
      <c r="E682" s="243">
        <v>5000000</v>
      </c>
    </row>
    <row r="683" spans="2:5" ht="15" x14ac:dyDescent="0.2">
      <c r="B683" s="237">
        <f t="shared" si="10"/>
        <v>679</v>
      </c>
      <c r="C683" s="237" t="s">
        <v>536</v>
      </c>
      <c r="D683" s="237" t="s">
        <v>3413</v>
      </c>
      <c r="E683" s="243">
        <v>5000000</v>
      </c>
    </row>
    <row r="684" spans="2:5" ht="15" x14ac:dyDescent="0.2">
      <c r="B684" s="237">
        <f t="shared" si="10"/>
        <v>680</v>
      </c>
      <c r="C684" s="237" t="s">
        <v>521</v>
      </c>
      <c r="D684" s="237" t="s">
        <v>3413</v>
      </c>
      <c r="E684" s="243">
        <v>5000000</v>
      </c>
    </row>
    <row r="685" spans="2:5" ht="15" x14ac:dyDescent="0.2">
      <c r="B685" s="237">
        <f t="shared" si="10"/>
        <v>681</v>
      </c>
      <c r="C685" s="237" t="s">
        <v>498</v>
      </c>
      <c r="D685" s="237" t="s">
        <v>3413</v>
      </c>
      <c r="E685" s="243">
        <v>5000000</v>
      </c>
    </row>
    <row r="686" spans="2:5" ht="15" x14ac:dyDescent="0.2">
      <c r="B686" s="237">
        <f t="shared" si="10"/>
        <v>682</v>
      </c>
      <c r="C686" s="237" t="s">
        <v>505</v>
      </c>
      <c r="D686" s="237" t="s">
        <v>3413</v>
      </c>
      <c r="E686" s="243">
        <v>5000000</v>
      </c>
    </row>
    <row r="687" spans="2:5" ht="15" x14ac:dyDescent="0.2">
      <c r="B687" s="237">
        <f t="shared" si="10"/>
        <v>683</v>
      </c>
      <c r="C687" s="237" t="s">
        <v>512</v>
      </c>
      <c r="D687" s="237" t="s">
        <v>3413</v>
      </c>
      <c r="E687" s="243">
        <v>5000000</v>
      </c>
    </row>
    <row r="688" spans="2:5" ht="15" x14ac:dyDescent="0.2">
      <c r="B688" s="237">
        <f t="shared" si="10"/>
        <v>684</v>
      </c>
      <c r="C688" s="237" t="s">
        <v>527</v>
      </c>
      <c r="D688" s="237" t="s">
        <v>3413</v>
      </c>
      <c r="E688" s="243">
        <v>5000000</v>
      </c>
    </row>
    <row r="689" spans="2:5" ht="15" x14ac:dyDescent="0.2">
      <c r="B689" s="237">
        <f t="shared" si="10"/>
        <v>685</v>
      </c>
      <c r="C689" s="237" t="s">
        <v>534</v>
      </c>
      <c r="D689" s="237" t="s">
        <v>3413</v>
      </c>
      <c r="E689" s="243">
        <v>5000000</v>
      </c>
    </row>
    <row r="690" spans="2:5" ht="15" x14ac:dyDescent="0.2">
      <c r="B690" s="237">
        <f t="shared" si="10"/>
        <v>686</v>
      </c>
      <c r="C690" s="237" t="s">
        <v>501</v>
      </c>
      <c r="D690" s="237" t="s">
        <v>3413</v>
      </c>
      <c r="E690" s="243">
        <v>5000000</v>
      </c>
    </row>
    <row r="691" spans="2:5" ht="15" x14ac:dyDescent="0.2">
      <c r="B691" s="237">
        <f t="shared" si="10"/>
        <v>687</v>
      </c>
      <c r="C691" s="237" t="s">
        <v>535</v>
      </c>
      <c r="D691" s="237" t="s">
        <v>3413</v>
      </c>
      <c r="E691" s="243">
        <v>5000000</v>
      </c>
    </row>
    <row r="692" spans="2:5" ht="15" x14ac:dyDescent="0.2">
      <c r="B692" s="237">
        <f t="shared" si="10"/>
        <v>688</v>
      </c>
      <c r="C692" s="237" t="s">
        <v>669</v>
      </c>
      <c r="D692" s="237" t="s">
        <v>3413</v>
      </c>
      <c r="E692" s="243">
        <v>5000000</v>
      </c>
    </row>
    <row r="693" spans="2:5" ht="15" x14ac:dyDescent="0.2">
      <c r="B693" s="237">
        <f t="shared" si="10"/>
        <v>689</v>
      </c>
      <c r="C693" s="237" t="s">
        <v>539</v>
      </c>
      <c r="D693" s="237" t="s">
        <v>3413</v>
      </c>
      <c r="E693" s="243">
        <v>5000000</v>
      </c>
    </row>
    <row r="694" spans="2:5" ht="15" x14ac:dyDescent="0.2">
      <c r="B694" s="237">
        <f t="shared" si="10"/>
        <v>690</v>
      </c>
      <c r="C694" s="237" t="s">
        <v>526</v>
      </c>
      <c r="D694" s="237" t="s">
        <v>3413</v>
      </c>
      <c r="E694" s="243">
        <v>5000000</v>
      </c>
    </row>
    <row r="695" spans="2:5" ht="15" x14ac:dyDescent="0.2">
      <c r="B695" s="237">
        <f t="shared" si="10"/>
        <v>691</v>
      </c>
      <c r="C695" s="237" t="s">
        <v>492</v>
      </c>
      <c r="D695" s="237" t="s">
        <v>3413</v>
      </c>
      <c r="E695" s="243">
        <v>5000000</v>
      </c>
    </row>
    <row r="696" spans="2:5" ht="15" x14ac:dyDescent="0.2">
      <c r="B696" s="237">
        <f t="shared" si="10"/>
        <v>692</v>
      </c>
      <c r="C696" s="237" t="s">
        <v>497</v>
      </c>
      <c r="D696" s="237" t="s">
        <v>3413</v>
      </c>
      <c r="E696" s="243">
        <v>5000000</v>
      </c>
    </row>
    <row r="697" spans="2:5" ht="15" x14ac:dyDescent="0.2">
      <c r="B697" s="237">
        <f t="shared" si="10"/>
        <v>693</v>
      </c>
      <c r="C697" s="237" t="s">
        <v>524</v>
      </c>
      <c r="D697" s="237" t="s">
        <v>3413</v>
      </c>
      <c r="E697" s="243">
        <v>5000000</v>
      </c>
    </row>
    <row r="698" spans="2:5" ht="15" x14ac:dyDescent="0.2">
      <c r="B698" s="237">
        <f t="shared" si="10"/>
        <v>694</v>
      </c>
      <c r="C698" s="237" t="s">
        <v>525</v>
      </c>
      <c r="D698" s="237" t="s">
        <v>3413</v>
      </c>
      <c r="E698" s="243">
        <v>5000000</v>
      </c>
    </row>
    <row r="699" spans="2:5" ht="15" x14ac:dyDescent="0.2">
      <c r="B699" s="237">
        <f t="shared" si="10"/>
        <v>695</v>
      </c>
      <c r="C699" s="237" t="s">
        <v>513</v>
      </c>
      <c r="D699" s="237" t="s">
        <v>3413</v>
      </c>
      <c r="E699" s="243">
        <v>5000000</v>
      </c>
    </row>
    <row r="700" spans="2:5" ht="15" x14ac:dyDescent="0.2">
      <c r="B700" s="237">
        <f t="shared" si="10"/>
        <v>696</v>
      </c>
      <c r="C700" s="237" t="s">
        <v>522</v>
      </c>
      <c r="D700" s="237" t="s">
        <v>3413</v>
      </c>
      <c r="E700" s="243">
        <v>5000000</v>
      </c>
    </row>
    <row r="701" spans="2:5" ht="15" x14ac:dyDescent="0.2">
      <c r="B701" s="237">
        <f t="shared" si="10"/>
        <v>697</v>
      </c>
      <c r="C701" s="237" t="s">
        <v>528</v>
      </c>
      <c r="D701" s="237" t="s">
        <v>3413</v>
      </c>
      <c r="E701" s="243">
        <v>5000000</v>
      </c>
    </row>
    <row r="702" spans="2:5" ht="15" x14ac:dyDescent="0.2">
      <c r="B702" s="237">
        <f t="shared" si="10"/>
        <v>698</v>
      </c>
      <c r="C702" s="237" t="s">
        <v>502</v>
      </c>
      <c r="D702" s="237" t="s">
        <v>3413</v>
      </c>
      <c r="E702" s="243">
        <v>5000000</v>
      </c>
    </row>
    <row r="703" spans="2:5" ht="15" x14ac:dyDescent="0.2">
      <c r="B703" s="237">
        <f t="shared" si="10"/>
        <v>699</v>
      </c>
      <c r="C703" s="237" t="s">
        <v>532</v>
      </c>
      <c r="D703" s="237" t="s">
        <v>3413</v>
      </c>
      <c r="E703" s="243">
        <v>5000000</v>
      </c>
    </row>
    <row r="704" spans="2:5" ht="15" x14ac:dyDescent="0.2">
      <c r="B704" s="237">
        <f t="shared" si="10"/>
        <v>700</v>
      </c>
      <c r="C704" s="237" t="s">
        <v>543</v>
      </c>
      <c r="D704" s="237" t="s">
        <v>3413</v>
      </c>
      <c r="E704" s="243">
        <v>5000000</v>
      </c>
    </row>
    <row r="705" spans="2:5" ht="15" x14ac:dyDescent="0.2">
      <c r="B705" s="237">
        <f t="shared" si="10"/>
        <v>701</v>
      </c>
      <c r="C705" s="237" t="s">
        <v>511</v>
      </c>
      <c r="D705" s="237" t="s">
        <v>3413</v>
      </c>
      <c r="E705" s="243">
        <v>5000000</v>
      </c>
    </row>
    <row r="706" spans="2:5" ht="15" x14ac:dyDescent="0.2">
      <c r="B706" s="237">
        <f t="shared" si="10"/>
        <v>702</v>
      </c>
      <c r="C706" s="237" t="s">
        <v>493</v>
      </c>
      <c r="D706" s="237" t="s">
        <v>3413</v>
      </c>
      <c r="E706" s="243">
        <v>5000000</v>
      </c>
    </row>
    <row r="707" spans="2:5" ht="15" x14ac:dyDescent="0.2">
      <c r="B707" s="237">
        <f t="shared" si="10"/>
        <v>703</v>
      </c>
      <c r="C707" s="237" t="s">
        <v>508</v>
      </c>
      <c r="D707" s="237" t="s">
        <v>3413</v>
      </c>
      <c r="E707" s="243">
        <v>5000000</v>
      </c>
    </row>
    <row r="708" spans="2:5" ht="15" x14ac:dyDescent="0.2">
      <c r="B708" s="237">
        <f t="shared" si="10"/>
        <v>704</v>
      </c>
      <c r="C708" s="237" t="s">
        <v>529</v>
      </c>
      <c r="D708" s="237" t="s">
        <v>3413</v>
      </c>
      <c r="E708" s="243">
        <v>5000000</v>
      </c>
    </row>
    <row r="709" spans="2:5" ht="15" x14ac:dyDescent="0.2">
      <c r="B709" s="237">
        <f t="shared" si="10"/>
        <v>705</v>
      </c>
      <c r="C709" s="237" t="s">
        <v>3630</v>
      </c>
      <c r="D709" s="237" t="s">
        <v>3413</v>
      </c>
      <c r="E709" s="243">
        <v>5000000</v>
      </c>
    </row>
    <row r="710" spans="2:5" ht="15" x14ac:dyDescent="0.2">
      <c r="B710" s="237">
        <f t="shared" ref="B710:B773" si="11">B709+1</f>
        <v>706</v>
      </c>
      <c r="C710" s="237" t="s">
        <v>531</v>
      </c>
      <c r="D710" s="237" t="s">
        <v>3413</v>
      </c>
      <c r="E710" s="243">
        <v>5000000</v>
      </c>
    </row>
    <row r="711" spans="2:5" ht="15" x14ac:dyDescent="0.2">
      <c r="B711" s="237">
        <f t="shared" si="11"/>
        <v>707</v>
      </c>
      <c r="C711" s="237" t="s">
        <v>506</v>
      </c>
      <c r="D711" s="237" t="s">
        <v>3413</v>
      </c>
      <c r="E711" s="243">
        <v>5000000</v>
      </c>
    </row>
    <row r="712" spans="2:5" ht="15" x14ac:dyDescent="0.2">
      <c r="B712" s="237">
        <f t="shared" si="11"/>
        <v>708</v>
      </c>
      <c r="C712" s="237" t="s">
        <v>504</v>
      </c>
      <c r="D712" s="237" t="s">
        <v>3413</v>
      </c>
      <c r="E712" s="243">
        <v>5000000</v>
      </c>
    </row>
    <row r="713" spans="2:5" ht="15" x14ac:dyDescent="0.2">
      <c r="B713" s="237">
        <f t="shared" si="11"/>
        <v>709</v>
      </c>
      <c r="C713" s="237" t="s">
        <v>515</v>
      </c>
      <c r="D713" s="237" t="s">
        <v>3413</v>
      </c>
      <c r="E713" s="243">
        <v>5000000</v>
      </c>
    </row>
    <row r="714" spans="2:5" ht="15" x14ac:dyDescent="0.2">
      <c r="B714" s="237">
        <f t="shared" si="11"/>
        <v>710</v>
      </c>
      <c r="C714" s="237" t="s">
        <v>507</v>
      </c>
      <c r="D714" s="237" t="s">
        <v>3413</v>
      </c>
      <c r="E714" s="243">
        <v>5000000</v>
      </c>
    </row>
    <row r="715" spans="2:5" ht="15" x14ac:dyDescent="0.2">
      <c r="B715" s="237">
        <f t="shared" si="11"/>
        <v>711</v>
      </c>
      <c r="C715" s="237" t="s">
        <v>491</v>
      </c>
      <c r="D715" s="237" t="s">
        <v>3413</v>
      </c>
      <c r="E715" s="243">
        <v>5000000</v>
      </c>
    </row>
    <row r="716" spans="2:5" ht="15" x14ac:dyDescent="0.2">
      <c r="B716" s="237">
        <f t="shared" si="11"/>
        <v>712</v>
      </c>
      <c r="C716" s="237" t="s">
        <v>500</v>
      </c>
      <c r="D716" s="237" t="s">
        <v>3413</v>
      </c>
      <c r="E716" s="243">
        <v>5000000</v>
      </c>
    </row>
    <row r="717" spans="2:5" ht="15" x14ac:dyDescent="0.2">
      <c r="B717" s="237">
        <f t="shared" si="11"/>
        <v>713</v>
      </c>
      <c r="C717" s="237" t="s">
        <v>523</v>
      </c>
      <c r="D717" s="237" t="s">
        <v>3413</v>
      </c>
      <c r="E717" s="243">
        <v>5000000</v>
      </c>
    </row>
    <row r="718" spans="2:5" ht="15" x14ac:dyDescent="0.2">
      <c r="B718" s="237">
        <f t="shared" si="11"/>
        <v>714</v>
      </c>
      <c r="C718" s="237" t="s">
        <v>509</v>
      </c>
      <c r="D718" s="237" t="s">
        <v>3413</v>
      </c>
      <c r="E718" s="243">
        <v>5000000</v>
      </c>
    </row>
    <row r="719" spans="2:5" ht="15" x14ac:dyDescent="0.2">
      <c r="B719" s="237">
        <f t="shared" si="11"/>
        <v>715</v>
      </c>
      <c r="C719" s="237" t="s">
        <v>3631</v>
      </c>
      <c r="D719" s="237" t="s">
        <v>3413</v>
      </c>
      <c r="E719" s="243">
        <v>4968000</v>
      </c>
    </row>
    <row r="720" spans="2:5" ht="15" x14ac:dyDescent="0.2">
      <c r="B720" s="237">
        <f t="shared" si="11"/>
        <v>716</v>
      </c>
      <c r="C720" s="237" t="s">
        <v>3632</v>
      </c>
      <c r="D720" s="237" t="s">
        <v>3413</v>
      </c>
      <c r="E720" s="243">
        <v>4926790</v>
      </c>
    </row>
    <row r="721" spans="2:5" ht="15" x14ac:dyDescent="0.2">
      <c r="B721" s="237">
        <f t="shared" si="11"/>
        <v>717</v>
      </c>
      <c r="C721" s="237" t="s">
        <v>3633</v>
      </c>
      <c r="D721" s="237" t="s">
        <v>3413</v>
      </c>
      <c r="E721" s="243">
        <v>4885430</v>
      </c>
    </row>
    <row r="722" spans="2:5" ht="15" x14ac:dyDescent="0.2">
      <c r="B722" s="237">
        <f t="shared" si="11"/>
        <v>718</v>
      </c>
      <c r="C722" s="237" t="s">
        <v>3634</v>
      </c>
      <c r="D722" s="237" t="s">
        <v>3413</v>
      </c>
      <c r="E722" s="243">
        <v>4878264</v>
      </c>
    </row>
    <row r="723" spans="2:5" ht="15" x14ac:dyDescent="0.2">
      <c r="B723" s="237">
        <f t="shared" si="11"/>
        <v>719</v>
      </c>
      <c r="C723" s="237" t="s">
        <v>3635</v>
      </c>
      <c r="D723" s="237" t="s">
        <v>3413</v>
      </c>
      <c r="E723" s="243">
        <v>4878263</v>
      </c>
    </row>
    <row r="724" spans="2:5" ht="15" x14ac:dyDescent="0.2">
      <c r="B724" s="237">
        <f t="shared" si="11"/>
        <v>720</v>
      </c>
      <c r="C724" s="237" t="s">
        <v>3636</v>
      </c>
      <c r="D724" s="237" t="s">
        <v>3413</v>
      </c>
      <c r="E724" s="243">
        <v>4872500</v>
      </c>
    </row>
    <row r="725" spans="2:5" ht="15" x14ac:dyDescent="0.2">
      <c r="B725" s="237">
        <f t="shared" si="11"/>
        <v>721</v>
      </c>
      <c r="C725" s="237" t="s">
        <v>3637</v>
      </c>
      <c r="D725" s="237" t="s">
        <v>3413</v>
      </c>
      <c r="E725" s="243">
        <v>4860696</v>
      </c>
    </row>
    <row r="726" spans="2:5" ht="15" x14ac:dyDescent="0.2">
      <c r="B726" s="237">
        <f t="shared" si="11"/>
        <v>722</v>
      </c>
      <c r="C726" s="237" t="s">
        <v>3638</v>
      </c>
      <c r="D726" s="237" t="s">
        <v>3413</v>
      </c>
      <c r="E726" s="243">
        <v>4855982</v>
      </c>
    </row>
    <row r="727" spans="2:5" ht="15" x14ac:dyDescent="0.2">
      <c r="B727" s="237">
        <f t="shared" si="11"/>
        <v>723</v>
      </c>
      <c r="C727" s="237" t="s">
        <v>3639</v>
      </c>
      <c r="D727" s="237" t="s">
        <v>3413</v>
      </c>
      <c r="E727" s="243">
        <v>4853877</v>
      </c>
    </row>
    <row r="728" spans="2:5" ht="15" x14ac:dyDescent="0.2">
      <c r="B728" s="237">
        <f t="shared" si="11"/>
        <v>724</v>
      </c>
      <c r="C728" s="237" t="s">
        <v>3640</v>
      </c>
      <c r="D728" s="237" t="s">
        <v>3413</v>
      </c>
      <c r="E728" s="243">
        <v>4850000</v>
      </c>
    </row>
    <row r="729" spans="2:5" ht="15" x14ac:dyDescent="0.2">
      <c r="B729" s="237">
        <f t="shared" si="11"/>
        <v>725</v>
      </c>
      <c r="C729" s="237" t="s">
        <v>3641</v>
      </c>
      <c r="D729" s="237" t="s">
        <v>3413</v>
      </c>
      <c r="E729" s="243">
        <v>4830363</v>
      </c>
    </row>
    <row r="730" spans="2:5" ht="15" x14ac:dyDescent="0.2">
      <c r="B730" s="237">
        <f t="shared" si="11"/>
        <v>726</v>
      </c>
      <c r="C730" s="237" t="s">
        <v>3642</v>
      </c>
      <c r="D730" s="237" t="s">
        <v>3413</v>
      </c>
      <c r="E730" s="243">
        <v>4806615</v>
      </c>
    </row>
    <row r="731" spans="2:5" ht="15" x14ac:dyDescent="0.2">
      <c r="B731" s="237">
        <f t="shared" si="11"/>
        <v>727</v>
      </c>
      <c r="C731" s="237" t="s">
        <v>3643</v>
      </c>
      <c r="D731" s="237" t="s">
        <v>3413</v>
      </c>
      <c r="E731" s="243">
        <v>4775000</v>
      </c>
    </row>
    <row r="732" spans="2:5" ht="15" x14ac:dyDescent="0.2">
      <c r="B732" s="237">
        <f t="shared" si="11"/>
        <v>728</v>
      </c>
      <c r="C732" s="237" t="s">
        <v>3644</v>
      </c>
      <c r="D732" s="237" t="s">
        <v>3413</v>
      </c>
      <c r="E732" s="243">
        <v>4745731</v>
      </c>
    </row>
    <row r="733" spans="2:5" ht="15" x14ac:dyDescent="0.2">
      <c r="B733" s="237">
        <f t="shared" si="11"/>
        <v>729</v>
      </c>
      <c r="C733" s="237" t="s">
        <v>3645</v>
      </c>
      <c r="D733" s="237" t="s">
        <v>3413</v>
      </c>
      <c r="E733" s="243">
        <v>4716282</v>
      </c>
    </row>
    <row r="734" spans="2:5" ht="15" x14ac:dyDescent="0.2">
      <c r="B734" s="237">
        <f t="shared" si="11"/>
        <v>730</v>
      </c>
      <c r="C734" s="237" t="s">
        <v>3646</v>
      </c>
      <c r="D734" s="237" t="s">
        <v>3413</v>
      </c>
      <c r="E734" s="243">
        <v>4677700</v>
      </c>
    </row>
    <row r="735" spans="2:5" ht="15" x14ac:dyDescent="0.2">
      <c r="B735" s="237">
        <f t="shared" si="11"/>
        <v>731</v>
      </c>
      <c r="C735" s="237" t="s">
        <v>3647</v>
      </c>
      <c r="D735" s="237" t="s">
        <v>3413</v>
      </c>
      <c r="E735" s="243">
        <v>4655698</v>
      </c>
    </row>
    <row r="736" spans="2:5" ht="15" x14ac:dyDescent="0.2">
      <c r="B736" s="237">
        <f t="shared" si="11"/>
        <v>732</v>
      </c>
      <c r="C736" s="237" t="s">
        <v>3648</v>
      </c>
      <c r="D736" s="237" t="s">
        <v>3413</v>
      </c>
      <c r="E736" s="243">
        <v>4630000</v>
      </c>
    </row>
    <row r="737" spans="2:5" ht="15" x14ac:dyDescent="0.2">
      <c r="B737" s="237">
        <f t="shared" si="11"/>
        <v>733</v>
      </c>
      <c r="C737" s="237" t="s">
        <v>3649</v>
      </c>
      <c r="D737" s="237" t="s">
        <v>3413</v>
      </c>
      <c r="E737" s="243">
        <v>4591928</v>
      </c>
    </row>
    <row r="738" spans="2:5" ht="15" x14ac:dyDescent="0.2">
      <c r="B738" s="237">
        <f t="shared" si="11"/>
        <v>734</v>
      </c>
      <c r="C738" s="237" t="s">
        <v>3650</v>
      </c>
      <c r="D738" s="237" t="s">
        <v>3413</v>
      </c>
      <c r="E738" s="243">
        <v>4500000</v>
      </c>
    </row>
    <row r="739" spans="2:5" ht="15" x14ac:dyDescent="0.2">
      <c r="B739" s="237">
        <f t="shared" si="11"/>
        <v>735</v>
      </c>
      <c r="C739" s="237" t="s">
        <v>3651</v>
      </c>
      <c r="D739" s="237" t="s">
        <v>3413</v>
      </c>
      <c r="E739" s="243">
        <v>4500000</v>
      </c>
    </row>
    <row r="740" spans="2:5" ht="15" x14ac:dyDescent="0.2">
      <c r="B740" s="237">
        <f t="shared" si="11"/>
        <v>736</v>
      </c>
      <c r="C740" s="237" t="s">
        <v>551</v>
      </c>
      <c r="D740" s="237" t="s">
        <v>3413</v>
      </c>
      <c r="E740" s="243">
        <v>4134150</v>
      </c>
    </row>
    <row r="741" spans="2:5" ht="15" x14ac:dyDescent="0.2">
      <c r="B741" s="237">
        <f t="shared" si="11"/>
        <v>737</v>
      </c>
      <c r="C741" s="237" t="s">
        <v>554</v>
      </c>
      <c r="D741" s="237" t="s">
        <v>3413</v>
      </c>
      <c r="E741" s="243">
        <v>4000000</v>
      </c>
    </row>
    <row r="742" spans="2:5" ht="15" x14ac:dyDescent="0.2">
      <c r="B742" s="237">
        <f t="shared" si="11"/>
        <v>738</v>
      </c>
      <c r="C742" s="237" t="s">
        <v>341</v>
      </c>
      <c r="D742" s="237" t="s">
        <v>3413</v>
      </c>
      <c r="E742" s="243">
        <v>3980098</v>
      </c>
    </row>
    <row r="743" spans="2:5" ht="15" x14ac:dyDescent="0.2">
      <c r="B743" s="237">
        <f t="shared" si="11"/>
        <v>739</v>
      </c>
      <c r="C743" s="237" t="s">
        <v>348</v>
      </c>
      <c r="D743" s="237" t="s">
        <v>3413</v>
      </c>
      <c r="E743" s="243">
        <v>3848986</v>
      </c>
    </row>
    <row r="744" spans="2:5" ht="15" x14ac:dyDescent="0.2">
      <c r="B744" s="237">
        <f t="shared" si="11"/>
        <v>740</v>
      </c>
      <c r="C744" s="237" t="s">
        <v>578</v>
      </c>
      <c r="D744" s="237" t="s">
        <v>3413</v>
      </c>
      <c r="E744" s="243">
        <v>3842237</v>
      </c>
    </row>
    <row r="745" spans="2:5" ht="15" x14ac:dyDescent="0.2">
      <c r="B745" s="237">
        <f t="shared" si="11"/>
        <v>741</v>
      </c>
      <c r="C745" s="237" t="s">
        <v>556</v>
      </c>
      <c r="D745" s="237" t="s">
        <v>3413</v>
      </c>
      <c r="E745" s="243">
        <v>3525000</v>
      </c>
    </row>
    <row r="746" spans="2:5" ht="15" x14ac:dyDescent="0.2">
      <c r="B746" s="237">
        <f t="shared" si="11"/>
        <v>742</v>
      </c>
      <c r="C746" s="237" t="s">
        <v>555</v>
      </c>
      <c r="D746" s="237" t="s">
        <v>3413</v>
      </c>
      <c r="E746" s="243">
        <v>3499650</v>
      </c>
    </row>
    <row r="747" spans="2:5" ht="15" x14ac:dyDescent="0.2">
      <c r="B747" s="237">
        <f t="shared" si="11"/>
        <v>743</v>
      </c>
      <c r="C747" s="237" t="s">
        <v>557</v>
      </c>
      <c r="D747" s="237" t="s">
        <v>3413</v>
      </c>
      <c r="E747" s="243">
        <v>3405000</v>
      </c>
    </row>
    <row r="748" spans="2:5" ht="15" x14ac:dyDescent="0.2">
      <c r="B748" s="237">
        <f t="shared" si="11"/>
        <v>744</v>
      </c>
      <c r="C748" s="237" t="s">
        <v>558</v>
      </c>
      <c r="D748" s="237" t="s">
        <v>3413</v>
      </c>
      <c r="E748" s="243">
        <v>3000000</v>
      </c>
    </row>
    <row r="749" spans="2:5" ht="15" x14ac:dyDescent="0.2">
      <c r="B749" s="237">
        <f t="shared" si="11"/>
        <v>745</v>
      </c>
      <c r="C749" s="237" t="s">
        <v>563</v>
      </c>
      <c r="D749" s="237" t="s">
        <v>3413</v>
      </c>
      <c r="E749" s="243">
        <v>3000000</v>
      </c>
    </row>
    <row r="750" spans="2:5" ht="15" x14ac:dyDescent="0.2">
      <c r="B750" s="237">
        <f t="shared" si="11"/>
        <v>746</v>
      </c>
      <c r="C750" s="237" t="s">
        <v>575</v>
      </c>
      <c r="D750" s="237" t="s">
        <v>3413</v>
      </c>
      <c r="E750" s="243">
        <v>3000000</v>
      </c>
    </row>
    <row r="751" spans="2:5" ht="15" x14ac:dyDescent="0.2">
      <c r="B751" s="237">
        <f t="shared" si="11"/>
        <v>747</v>
      </c>
      <c r="C751" s="237" t="s">
        <v>572</v>
      </c>
      <c r="D751" s="237" t="s">
        <v>3413</v>
      </c>
      <c r="E751" s="243">
        <v>3000000</v>
      </c>
    </row>
    <row r="752" spans="2:5" ht="15" x14ac:dyDescent="0.2">
      <c r="B752" s="237">
        <f t="shared" si="11"/>
        <v>748</v>
      </c>
      <c r="C752" s="237" t="s">
        <v>559</v>
      </c>
      <c r="D752" s="237" t="s">
        <v>3413</v>
      </c>
      <c r="E752" s="243">
        <v>3000000</v>
      </c>
    </row>
    <row r="753" spans="2:5" ht="15" x14ac:dyDescent="0.2">
      <c r="B753" s="237">
        <f t="shared" si="11"/>
        <v>749</v>
      </c>
      <c r="C753" s="237" t="s">
        <v>562</v>
      </c>
      <c r="D753" s="237" t="s">
        <v>3413</v>
      </c>
      <c r="E753" s="243">
        <v>3000000</v>
      </c>
    </row>
    <row r="754" spans="2:5" ht="15" x14ac:dyDescent="0.2">
      <c r="B754" s="237">
        <f t="shared" si="11"/>
        <v>750</v>
      </c>
      <c r="C754" s="237" t="s">
        <v>569</v>
      </c>
      <c r="D754" s="237" t="s">
        <v>3413</v>
      </c>
      <c r="E754" s="243">
        <v>3000000</v>
      </c>
    </row>
    <row r="755" spans="2:5" ht="15" x14ac:dyDescent="0.2">
      <c r="B755" s="237">
        <f t="shared" si="11"/>
        <v>751</v>
      </c>
      <c r="C755" s="237" t="s">
        <v>570</v>
      </c>
      <c r="D755" s="237" t="s">
        <v>3413</v>
      </c>
      <c r="E755" s="243">
        <v>3000000</v>
      </c>
    </row>
    <row r="756" spans="2:5" ht="15" x14ac:dyDescent="0.2">
      <c r="B756" s="237">
        <f t="shared" si="11"/>
        <v>752</v>
      </c>
      <c r="C756" s="237" t="s">
        <v>560</v>
      </c>
      <c r="D756" s="237" t="s">
        <v>3413</v>
      </c>
      <c r="E756" s="243">
        <v>3000000</v>
      </c>
    </row>
    <row r="757" spans="2:5" ht="15" x14ac:dyDescent="0.2">
      <c r="B757" s="237">
        <f t="shared" si="11"/>
        <v>753</v>
      </c>
      <c r="C757" s="237" t="s">
        <v>567</v>
      </c>
      <c r="D757" s="237" t="s">
        <v>3413</v>
      </c>
      <c r="E757" s="243">
        <v>3000000</v>
      </c>
    </row>
    <row r="758" spans="2:5" ht="15" x14ac:dyDescent="0.2">
      <c r="B758" s="237">
        <f t="shared" si="11"/>
        <v>754</v>
      </c>
      <c r="C758" s="237" t="s">
        <v>571</v>
      </c>
      <c r="D758" s="237" t="s">
        <v>3413</v>
      </c>
      <c r="E758" s="243">
        <v>3000000</v>
      </c>
    </row>
    <row r="759" spans="2:5" ht="15" x14ac:dyDescent="0.2">
      <c r="B759" s="237">
        <f t="shared" si="11"/>
        <v>755</v>
      </c>
      <c r="C759" s="237" t="s">
        <v>573</v>
      </c>
      <c r="D759" s="237" t="s">
        <v>3413</v>
      </c>
      <c r="E759" s="243">
        <v>3000000</v>
      </c>
    </row>
    <row r="760" spans="2:5" ht="15" x14ac:dyDescent="0.2">
      <c r="B760" s="237">
        <f t="shared" si="11"/>
        <v>756</v>
      </c>
      <c r="C760" s="237" t="s">
        <v>574</v>
      </c>
      <c r="D760" s="237" t="s">
        <v>3413</v>
      </c>
      <c r="E760" s="243">
        <v>3000000</v>
      </c>
    </row>
    <row r="761" spans="2:5" ht="15" x14ac:dyDescent="0.2">
      <c r="B761" s="237">
        <f t="shared" si="11"/>
        <v>757</v>
      </c>
      <c r="C761" s="237" t="s">
        <v>561</v>
      </c>
      <c r="D761" s="237" t="s">
        <v>3413</v>
      </c>
      <c r="E761" s="243">
        <v>3000000</v>
      </c>
    </row>
    <row r="762" spans="2:5" ht="15" x14ac:dyDescent="0.2">
      <c r="B762" s="237">
        <f t="shared" si="11"/>
        <v>758</v>
      </c>
      <c r="C762" s="237" t="s">
        <v>565</v>
      </c>
      <c r="D762" s="237" t="s">
        <v>3413</v>
      </c>
      <c r="E762" s="243">
        <v>3000000</v>
      </c>
    </row>
    <row r="763" spans="2:5" ht="15" x14ac:dyDescent="0.2">
      <c r="B763" s="237">
        <f t="shared" si="11"/>
        <v>759</v>
      </c>
      <c r="C763" s="237" t="s">
        <v>568</v>
      </c>
      <c r="D763" s="237" t="s">
        <v>3413</v>
      </c>
      <c r="E763" s="243">
        <v>3000000</v>
      </c>
    </row>
    <row r="764" spans="2:5" ht="15" x14ac:dyDescent="0.2">
      <c r="B764" s="237">
        <f t="shared" si="11"/>
        <v>760</v>
      </c>
      <c r="C764" s="237" t="s">
        <v>566</v>
      </c>
      <c r="D764" s="237" t="s">
        <v>3413</v>
      </c>
      <c r="E764" s="243">
        <v>3000000</v>
      </c>
    </row>
    <row r="765" spans="2:5" ht="15" x14ac:dyDescent="0.2">
      <c r="B765" s="237">
        <f t="shared" si="11"/>
        <v>761</v>
      </c>
      <c r="C765" s="237" t="s">
        <v>671</v>
      </c>
      <c r="D765" s="237" t="s">
        <v>3413</v>
      </c>
      <c r="E765" s="243">
        <v>3000000</v>
      </c>
    </row>
    <row r="766" spans="2:5" ht="15" x14ac:dyDescent="0.2">
      <c r="B766" s="237">
        <f t="shared" si="11"/>
        <v>762</v>
      </c>
      <c r="C766" s="237" t="s">
        <v>564</v>
      </c>
      <c r="D766" s="237" t="s">
        <v>3413</v>
      </c>
      <c r="E766" s="243">
        <v>3000000</v>
      </c>
    </row>
    <row r="767" spans="2:5" ht="15" x14ac:dyDescent="0.2">
      <c r="B767" s="237">
        <f t="shared" si="11"/>
        <v>763</v>
      </c>
      <c r="C767" s="237" t="s">
        <v>583</v>
      </c>
      <c r="D767" s="237" t="s">
        <v>3413</v>
      </c>
      <c r="E767" s="243">
        <v>2500000</v>
      </c>
    </row>
    <row r="768" spans="2:5" ht="15" x14ac:dyDescent="0.2">
      <c r="B768" s="237">
        <f t="shared" si="11"/>
        <v>764</v>
      </c>
      <c r="C768" s="237" t="s">
        <v>581</v>
      </c>
      <c r="D768" s="237" t="s">
        <v>3413</v>
      </c>
      <c r="E768" s="243">
        <v>2500000</v>
      </c>
    </row>
    <row r="769" spans="2:5" ht="15" x14ac:dyDescent="0.2">
      <c r="B769" s="237">
        <f t="shared" si="11"/>
        <v>765</v>
      </c>
      <c r="C769" s="237" t="s">
        <v>582</v>
      </c>
      <c r="D769" s="237" t="s">
        <v>3413</v>
      </c>
      <c r="E769" s="243">
        <v>2500000</v>
      </c>
    </row>
    <row r="770" spans="2:5" ht="15" x14ac:dyDescent="0.2">
      <c r="B770" s="237">
        <f t="shared" si="11"/>
        <v>766</v>
      </c>
      <c r="C770" s="237" t="s">
        <v>584</v>
      </c>
      <c r="D770" s="237" t="s">
        <v>3413</v>
      </c>
      <c r="E770" s="243">
        <v>2431711</v>
      </c>
    </row>
    <row r="771" spans="2:5" ht="15" x14ac:dyDescent="0.2">
      <c r="B771" s="237">
        <f t="shared" si="11"/>
        <v>767</v>
      </c>
      <c r="C771" s="237" t="s">
        <v>585</v>
      </c>
      <c r="D771" s="237" t="s">
        <v>3413</v>
      </c>
      <c r="E771" s="243">
        <v>2420000</v>
      </c>
    </row>
    <row r="772" spans="2:5" ht="15" x14ac:dyDescent="0.2">
      <c r="B772" s="237">
        <f t="shared" si="11"/>
        <v>768</v>
      </c>
      <c r="C772" s="237" t="s">
        <v>3652</v>
      </c>
      <c r="D772" s="237" t="s">
        <v>3413</v>
      </c>
      <c r="E772" s="243">
        <v>2200000</v>
      </c>
    </row>
    <row r="773" spans="2:5" ht="15" x14ac:dyDescent="0.2">
      <c r="B773" s="237">
        <f t="shared" si="11"/>
        <v>769</v>
      </c>
      <c r="C773" s="237" t="s">
        <v>3653</v>
      </c>
      <c r="D773" s="237" t="s">
        <v>3413</v>
      </c>
      <c r="E773" s="243">
        <v>2014089</v>
      </c>
    </row>
    <row r="774" spans="2:5" ht="15" x14ac:dyDescent="0.2">
      <c r="B774" s="237">
        <f t="shared" ref="B774:B801" si="12">B773+1</f>
        <v>770</v>
      </c>
      <c r="C774" s="237" t="s">
        <v>3654</v>
      </c>
      <c r="D774" s="237" t="s">
        <v>3413</v>
      </c>
      <c r="E774" s="243">
        <v>1590004</v>
      </c>
    </row>
    <row r="775" spans="2:5" ht="15" x14ac:dyDescent="0.2">
      <c r="B775" s="237">
        <f t="shared" si="12"/>
        <v>771</v>
      </c>
      <c r="C775" s="237" t="s">
        <v>588</v>
      </c>
      <c r="D775" s="237" t="s">
        <v>3413</v>
      </c>
      <c r="E775" s="243">
        <v>1500000</v>
      </c>
    </row>
    <row r="776" spans="2:5" ht="15" x14ac:dyDescent="0.2">
      <c r="B776" s="237">
        <f t="shared" si="12"/>
        <v>772</v>
      </c>
      <c r="C776" s="237" t="s">
        <v>472</v>
      </c>
      <c r="D776" s="237" t="s">
        <v>3413</v>
      </c>
      <c r="E776" s="243">
        <v>1500000</v>
      </c>
    </row>
    <row r="777" spans="2:5" ht="15" x14ac:dyDescent="0.2">
      <c r="B777" s="237">
        <f t="shared" si="12"/>
        <v>773</v>
      </c>
      <c r="C777" s="237" t="s">
        <v>3655</v>
      </c>
      <c r="D777" s="237" t="s">
        <v>3413</v>
      </c>
      <c r="E777" s="243">
        <v>1495395</v>
      </c>
    </row>
    <row r="778" spans="2:5" ht="15" x14ac:dyDescent="0.2">
      <c r="B778" s="237">
        <f t="shared" si="12"/>
        <v>774</v>
      </c>
      <c r="C778" s="237" t="s">
        <v>3656</v>
      </c>
      <c r="D778" s="237" t="s">
        <v>3413</v>
      </c>
      <c r="E778" s="243">
        <v>1424320</v>
      </c>
    </row>
    <row r="779" spans="2:5" ht="15" x14ac:dyDescent="0.2">
      <c r="B779" s="237">
        <f t="shared" si="12"/>
        <v>775</v>
      </c>
      <c r="C779" s="237" t="s">
        <v>590</v>
      </c>
      <c r="D779" s="237" t="s">
        <v>3413</v>
      </c>
      <c r="E779" s="243">
        <v>1400000</v>
      </c>
    </row>
    <row r="780" spans="2:5" ht="15" x14ac:dyDescent="0.2">
      <c r="B780" s="237">
        <f t="shared" si="12"/>
        <v>776</v>
      </c>
      <c r="C780" s="237" t="s">
        <v>2424</v>
      </c>
      <c r="D780" s="237" t="s">
        <v>3413</v>
      </c>
      <c r="E780" s="243">
        <v>1382934</v>
      </c>
    </row>
    <row r="781" spans="2:5" ht="15" x14ac:dyDescent="0.2">
      <c r="B781" s="237">
        <f t="shared" si="12"/>
        <v>777</v>
      </c>
      <c r="C781" s="237" t="s">
        <v>548</v>
      </c>
      <c r="D781" s="237" t="s">
        <v>3413</v>
      </c>
      <c r="E781" s="243">
        <v>1361250</v>
      </c>
    </row>
    <row r="782" spans="2:5" ht="15" x14ac:dyDescent="0.2">
      <c r="B782" s="237">
        <f t="shared" si="12"/>
        <v>778</v>
      </c>
      <c r="C782" s="237" t="s">
        <v>3657</v>
      </c>
      <c r="D782" s="237" t="s">
        <v>3413</v>
      </c>
      <c r="E782" s="243">
        <v>1287750</v>
      </c>
    </row>
    <row r="783" spans="2:5" ht="15" x14ac:dyDescent="0.2">
      <c r="B783" s="237">
        <f t="shared" si="12"/>
        <v>779</v>
      </c>
      <c r="C783" s="237" t="s">
        <v>3658</v>
      </c>
      <c r="D783" s="237" t="s">
        <v>3413</v>
      </c>
      <c r="E783" s="243">
        <v>1200000</v>
      </c>
    </row>
    <row r="784" spans="2:5" ht="15" x14ac:dyDescent="0.2">
      <c r="B784" s="237">
        <f t="shared" si="12"/>
        <v>780</v>
      </c>
      <c r="C784" s="237" t="s">
        <v>3659</v>
      </c>
      <c r="D784" s="237" t="s">
        <v>3413</v>
      </c>
      <c r="E784" s="243">
        <v>1158555</v>
      </c>
    </row>
    <row r="785" spans="2:5" ht="15" x14ac:dyDescent="0.2">
      <c r="B785" s="237">
        <f t="shared" si="12"/>
        <v>781</v>
      </c>
      <c r="C785" s="237" t="s">
        <v>405</v>
      </c>
      <c r="D785" s="237" t="s">
        <v>3413</v>
      </c>
      <c r="E785" s="243">
        <v>1100000</v>
      </c>
    </row>
    <row r="786" spans="2:5" ht="15" x14ac:dyDescent="0.2">
      <c r="B786" s="237">
        <f t="shared" si="12"/>
        <v>782</v>
      </c>
      <c r="C786" s="237" t="s">
        <v>3660</v>
      </c>
      <c r="D786" s="237" t="s">
        <v>3413</v>
      </c>
      <c r="E786" s="243">
        <v>566666</v>
      </c>
    </row>
    <row r="787" spans="2:5" ht="15" x14ac:dyDescent="0.2">
      <c r="B787" s="237">
        <f t="shared" si="12"/>
        <v>783</v>
      </c>
      <c r="C787" s="237" t="s">
        <v>594</v>
      </c>
      <c r="D787" s="237" t="s">
        <v>3413</v>
      </c>
      <c r="E787" s="243">
        <v>550000</v>
      </c>
    </row>
    <row r="788" spans="2:5" ht="15" x14ac:dyDescent="0.2">
      <c r="B788" s="237">
        <f t="shared" si="12"/>
        <v>784</v>
      </c>
      <c r="C788" s="237" t="s">
        <v>597</v>
      </c>
      <c r="D788" s="237" t="s">
        <v>3413</v>
      </c>
      <c r="E788" s="243">
        <v>500000</v>
      </c>
    </row>
    <row r="789" spans="2:5" ht="15" x14ac:dyDescent="0.2">
      <c r="B789" s="237">
        <f t="shared" si="12"/>
        <v>785</v>
      </c>
      <c r="C789" s="237" t="s">
        <v>596</v>
      </c>
      <c r="D789" s="237" t="s">
        <v>3413</v>
      </c>
      <c r="E789" s="243">
        <v>500000</v>
      </c>
    </row>
    <row r="790" spans="2:5" ht="15" x14ac:dyDescent="0.2">
      <c r="B790" s="237">
        <f t="shared" si="12"/>
        <v>786</v>
      </c>
      <c r="C790" s="237" t="s">
        <v>595</v>
      </c>
      <c r="D790" s="237" t="s">
        <v>3413</v>
      </c>
      <c r="E790" s="243">
        <v>500000</v>
      </c>
    </row>
    <row r="791" spans="2:5" ht="15" x14ac:dyDescent="0.2">
      <c r="B791" s="237">
        <f t="shared" si="12"/>
        <v>787</v>
      </c>
      <c r="C791" s="237" t="s">
        <v>3661</v>
      </c>
      <c r="D791" s="237" t="s">
        <v>3413</v>
      </c>
      <c r="E791" s="243">
        <v>348825</v>
      </c>
    </row>
    <row r="792" spans="2:5" ht="15" x14ac:dyDescent="0.2">
      <c r="B792" s="237">
        <f t="shared" si="12"/>
        <v>788</v>
      </c>
      <c r="C792" s="237" t="s">
        <v>600</v>
      </c>
      <c r="D792" s="237" t="s">
        <v>3413</v>
      </c>
      <c r="E792" s="243">
        <v>300000</v>
      </c>
    </row>
    <row r="793" spans="2:5" ht="15" x14ac:dyDescent="0.2">
      <c r="B793" s="237">
        <f t="shared" si="12"/>
        <v>789</v>
      </c>
      <c r="C793" s="237" t="s">
        <v>602</v>
      </c>
      <c r="D793" s="237" t="s">
        <v>3413</v>
      </c>
      <c r="E793" s="243">
        <v>300000</v>
      </c>
    </row>
    <row r="794" spans="2:5" ht="15" x14ac:dyDescent="0.2">
      <c r="B794" s="237">
        <f t="shared" si="12"/>
        <v>790</v>
      </c>
      <c r="C794" s="237" t="s">
        <v>601</v>
      </c>
      <c r="D794" s="237" t="s">
        <v>3413</v>
      </c>
      <c r="E794" s="243">
        <v>300000</v>
      </c>
    </row>
    <row r="795" spans="2:5" ht="15" x14ac:dyDescent="0.2">
      <c r="B795" s="237">
        <f t="shared" si="12"/>
        <v>791</v>
      </c>
      <c r="C795" s="237" t="s">
        <v>3662</v>
      </c>
      <c r="D795" s="237" t="s">
        <v>3413</v>
      </c>
      <c r="E795" s="243">
        <v>241303</v>
      </c>
    </row>
    <row r="796" spans="2:5" ht="15" x14ac:dyDescent="0.2">
      <c r="B796" s="237">
        <f t="shared" si="12"/>
        <v>792</v>
      </c>
      <c r="C796" s="237" t="s">
        <v>608</v>
      </c>
      <c r="D796" s="237" t="s">
        <v>3413</v>
      </c>
      <c r="E796" s="243">
        <v>200000</v>
      </c>
    </row>
    <row r="797" spans="2:5" ht="15" x14ac:dyDescent="0.2">
      <c r="B797" s="237">
        <f t="shared" si="12"/>
        <v>793</v>
      </c>
      <c r="C797" s="237" t="s">
        <v>607</v>
      </c>
      <c r="D797" s="237" t="s">
        <v>3413</v>
      </c>
      <c r="E797" s="243">
        <v>200000</v>
      </c>
    </row>
    <row r="798" spans="2:5" ht="15" x14ac:dyDescent="0.2">
      <c r="B798" s="237">
        <f t="shared" si="12"/>
        <v>794</v>
      </c>
      <c r="C798" s="237" t="s">
        <v>605</v>
      </c>
      <c r="D798" s="237" t="s">
        <v>3413</v>
      </c>
      <c r="E798" s="243">
        <v>200000</v>
      </c>
    </row>
    <row r="799" spans="2:5" ht="15" x14ac:dyDescent="0.2">
      <c r="B799" s="237">
        <f t="shared" si="12"/>
        <v>795</v>
      </c>
      <c r="C799" s="237" t="s">
        <v>604</v>
      </c>
      <c r="D799" s="237" t="s">
        <v>3413</v>
      </c>
      <c r="E799" s="243">
        <v>200000</v>
      </c>
    </row>
    <row r="800" spans="2:5" ht="15" x14ac:dyDescent="0.2">
      <c r="B800" s="237">
        <f t="shared" si="12"/>
        <v>796</v>
      </c>
      <c r="C800" s="237" t="s">
        <v>606</v>
      </c>
      <c r="D800" s="237" t="s">
        <v>3413</v>
      </c>
      <c r="E800" s="243">
        <v>200000</v>
      </c>
    </row>
    <row r="801" spans="2:5" ht="15" x14ac:dyDescent="0.2">
      <c r="B801" s="237">
        <f t="shared" si="12"/>
        <v>797</v>
      </c>
      <c r="C801" s="237" t="s">
        <v>609</v>
      </c>
      <c r="D801" s="237" t="s">
        <v>3413</v>
      </c>
      <c r="E801" s="243">
        <v>200000</v>
      </c>
    </row>
    <row r="802" spans="2:5" ht="12" x14ac:dyDescent="0.15">
      <c r="B802" s="238"/>
      <c r="C802" s="239" t="s">
        <v>794</v>
      </c>
      <c r="D802" s="240"/>
      <c r="E802" s="244">
        <f>SUM(E5:E801)</f>
        <v>5220805004118.6191</v>
      </c>
    </row>
    <row r="803" spans="2:5" ht="12" x14ac:dyDescent="0.15">
      <c r="E803" s="77">
        <f>E802-'12'!D30</f>
        <v>0</v>
      </c>
    </row>
  </sheetData>
  <autoFilter ref="B4:E802" xr:uid="{A6E3DE54-8B84-4FCD-8F70-79B49E021EB8}"/>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CAA15-32B7-4611-9D5D-1E0969083FE8}">
  <dimension ref="B2:D31"/>
  <sheetViews>
    <sheetView showGridLines="0" zoomScale="70" zoomScaleNormal="70" workbookViewId="0">
      <selection activeCell="B2" sqref="B2"/>
    </sheetView>
  </sheetViews>
  <sheetFormatPr defaultColWidth="11.43359375" defaultRowHeight="15" x14ac:dyDescent="0.2"/>
  <cols>
    <col min="2" max="2" width="11.43359375" style="2"/>
    <col min="3" max="3" width="103.58203125" bestFit="1" customWidth="1"/>
    <col min="4" max="4" width="27.84375" bestFit="1" customWidth="1"/>
  </cols>
  <sheetData>
    <row r="2" spans="2:4" x14ac:dyDescent="0.2">
      <c r="B2" s="128" t="s">
        <v>10</v>
      </c>
    </row>
    <row r="4" spans="2:4" x14ac:dyDescent="0.2">
      <c r="B4" s="234" t="s">
        <v>22</v>
      </c>
      <c r="C4" s="235" t="s">
        <v>23</v>
      </c>
      <c r="D4" s="236" t="s">
        <v>3412</v>
      </c>
    </row>
    <row r="5" spans="2:4" x14ac:dyDescent="0.2">
      <c r="B5" s="117">
        <v>1</v>
      </c>
      <c r="C5" s="118" t="s">
        <v>3392</v>
      </c>
      <c r="D5" s="241">
        <v>1036603131497</v>
      </c>
    </row>
    <row r="6" spans="2:4" x14ac:dyDescent="0.2">
      <c r="B6" s="117">
        <f>B5+1</f>
        <v>2</v>
      </c>
      <c r="C6" s="118" t="s">
        <v>3394</v>
      </c>
      <c r="D6" s="241">
        <v>948506626833</v>
      </c>
    </row>
    <row r="7" spans="2:4" x14ac:dyDescent="0.2">
      <c r="B7" s="117">
        <f t="shared" ref="B7:B29" si="0">B6+1</f>
        <v>3</v>
      </c>
      <c r="C7" s="118" t="s">
        <v>3663</v>
      </c>
      <c r="D7" s="241">
        <v>856668443874</v>
      </c>
    </row>
    <row r="8" spans="2:4" x14ac:dyDescent="0.2">
      <c r="B8" s="117">
        <f t="shared" si="0"/>
        <v>4</v>
      </c>
      <c r="C8" s="118" t="s">
        <v>3410</v>
      </c>
      <c r="D8" s="241">
        <v>752328685828</v>
      </c>
    </row>
    <row r="9" spans="2:4" x14ac:dyDescent="0.2">
      <c r="B9" s="117">
        <f t="shared" si="0"/>
        <v>5</v>
      </c>
      <c r="C9" s="118" t="s">
        <v>3664</v>
      </c>
      <c r="D9" s="241">
        <v>315087605710</v>
      </c>
    </row>
    <row r="10" spans="2:4" x14ac:dyDescent="0.2">
      <c r="B10" s="117">
        <f t="shared" si="0"/>
        <v>6</v>
      </c>
      <c r="C10" s="118" t="s">
        <v>3665</v>
      </c>
      <c r="D10" s="241">
        <v>228994802583</v>
      </c>
    </row>
    <row r="11" spans="2:4" x14ac:dyDescent="0.2">
      <c r="B11" s="117">
        <f t="shared" si="0"/>
        <v>7</v>
      </c>
      <c r="C11" s="118" t="s">
        <v>3400</v>
      </c>
      <c r="D11" s="241">
        <v>226407822722</v>
      </c>
    </row>
    <row r="12" spans="2:4" x14ac:dyDescent="0.2">
      <c r="B12" s="117">
        <f t="shared" si="0"/>
        <v>8</v>
      </c>
      <c r="C12" s="118" t="s">
        <v>3666</v>
      </c>
      <c r="D12" s="241">
        <v>205957352512</v>
      </c>
    </row>
    <row r="13" spans="2:4" x14ac:dyDescent="0.2">
      <c r="B13" s="117">
        <f t="shared" si="0"/>
        <v>9</v>
      </c>
      <c r="C13" s="118" t="s">
        <v>3404</v>
      </c>
      <c r="D13" s="241">
        <v>184950443698.6188</v>
      </c>
    </row>
    <row r="14" spans="2:4" x14ac:dyDescent="0.2">
      <c r="B14" s="117">
        <f t="shared" si="0"/>
        <v>10</v>
      </c>
      <c r="C14" s="118" t="s">
        <v>3667</v>
      </c>
      <c r="D14" s="241">
        <v>153485816384</v>
      </c>
    </row>
    <row r="15" spans="2:4" x14ac:dyDescent="0.2">
      <c r="B15" s="117">
        <f t="shared" si="0"/>
        <v>11</v>
      </c>
      <c r="C15" s="118" t="s">
        <v>3668</v>
      </c>
      <c r="D15" s="241">
        <v>120812161966</v>
      </c>
    </row>
    <row r="16" spans="2:4" x14ac:dyDescent="0.2">
      <c r="B16" s="117">
        <f t="shared" si="0"/>
        <v>12</v>
      </c>
      <c r="C16" s="118" t="s">
        <v>3669</v>
      </c>
      <c r="D16" s="241">
        <v>111836754568</v>
      </c>
    </row>
    <row r="17" spans="2:4" x14ac:dyDescent="0.2">
      <c r="B17" s="117">
        <f t="shared" si="0"/>
        <v>13</v>
      </c>
      <c r="C17" s="118" t="s">
        <v>3670</v>
      </c>
      <c r="D17" s="241">
        <v>29319011084</v>
      </c>
    </row>
    <row r="18" spans="2:4" x14ac:dyDescent="0.2">
      <c r="B18" s="117">
        <f t="shared" si="0"/>
        <v>14</v>
      </c>
      <c r="C18" s="118" t="s">
        <v>3671</v>
      </c>
      <c r="D18" s="241">
        <v>12480987588</v>
      </c>
    </row>
    <row r="19" spans="2:4" x14ac:dyDescent="0.2">
      <c r="B19" s="117">
        <f t="shared" si="0"/>
        <v>15</v>
      </c>
      <c r="C19" s="118" t="s">
        <v>3672</v>
      </c>
      <c r="D19" s="241">
        <v>8902086010</v>
      </c>
    </row>
    <row r="20" spans="2:4" x14ac:dyDescent="0.2">
      <c r="B20" s="117">
        <f t="shared" si="0"/>
        <v>16</v>
      </c>
      <c r="C20" s="118" t="s">
        <v>3673</v>
      </c>
      <c r="D20" s="241">
        <v>8573841540</v>
      </c>
    </row>
    <row r="21" spans="2:4" x14ac:dyDescent="0.2">
      <c r="B21" s="117">
        <f t="shared" si="0"/>
        <v>17</v>
      </c>
      <c r="C21" s="118" t="s">
        <v>3674</v>
      </c>
      <c r="D21" s="241">
        <v>7578495861</v>
      </c>
    </row>
    <row r="22" spans="2:4" x14ac:dyDescent="0.2">
      <c r="B22" s="117">
        <f t="shared" si="0"/>
        <v>18</v>
      </c>
      <c r="C22" s="118" t="s">
        <v>3675</v>
      </c>
      <c r="D22" s="241">
        <v>5257046696</v>
      </c>
    </row>
    <row r="23" spans="2:4" x14ac:dyDescent="0.2">
      <c r="B23" s="117">
        <f t="shared" si="0"/>
        <v>19</v>
      </c>
      <c r="C23" s="118" t="s">
        <v>3676</v>
      </c>
      <c r="D23" s="241">
        <v>4068938897</v>
      </c>
    </row>
    <row r="24" spans="2:4" x14ac:dyDescent="0.2">
      <c r="B24" s="117">
        <f t="shared" si="0"/>
        <v>20</v>
      </c>
      <c r="C24" s="118" t="s">
        <v>3677</v>
      </c>
      <c r="D24" s="241">
        <v>1350682032</v>
      </c>
    </row>
    <row r="25" spans="2:4" x14ac:dyDescent="0.2">
      <c r="B25" s="117">
        <f t="shared" si="0"/>
        <v>21</v>
      </c>
      <c r="C25" s="118" t="s">
        <v>3678</v>
      </c>
      <c r="D25" s="241">
        <v>1106280685</v>
      </c>
    </row>
    <row r="26" spans="2:4" x14ac:dyDescent="0.2">
      <c r="B26" s="117">
        <f t="shared" si="0"/>
        <v>22</v>
      </c>
      <c r="C26" s="118" t="s">
        <v>3679</v>
      </c>
      <c r="D26" s="241">
        <v>437425569</v>
      </c>
    </row>
    <row r="27" spans="2:4" x14ac:dyDescent="0.2">
      <c r="B27" s="117">
        <f t="shared" si="0"/>
        <v>23</v>
      </c>
      <c r="C27" s="118" t="s">
        <v>3680</v>
      </c>
      <c r="D27" s="241">
        <v>66708647</v>
      </c>
    </row>
    <row r="28" spans="2:4" x14ac:dyDescent="0.2">
      <c r="B28" s="117">
        <f t="shared" si="0"/>
        <v>24</v>
      </c>
      <c r="C28" s="118" t="s">
        <v>3681</v>
      </c>
      <c r="D28" s="241">
        <v>23411576</v>
      </c>
    </row>
    <row r="29" spans="2:4" x14ac:dyDescent="0.2">
      <c r="B29" s="117">
        <f t="shared" si="0"/>
        <v>25</v>
      </c>
      <c r="C29" s="118" t="s">
        <v>3682</v>
      </c>
      <c r="D29" s="241">
        <v>439758</v>
      </c>
    </row>
    <row r="30" spans="2:4" x14ac:dyDescent="0.2">
      <c r="B30" s="238"/>
      <c r="C30" s="239" t="s">
        <v>794</v>
      </c>
      <c r="D30" s="242">
        <f>SUM(D5:D29)</f>
        <v>5220805004118.6191</v>
      </c>
    </row>
    <row r="31" spans="2:4" x14ac:dyDescent="0.2">
      <c r="D31" s="233"/>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64F5C-B9AE-466D-84D1-0B293495B59C}">
  <dimension ref="B2:E851"/>
  <sheetViews>
    <sheetView showGridLines="0" zoomScale="70" zoomScaleNormal="70" workbookViewId="0">
      <selection activeCell="D11" sqref="D11"/>
    </sheetView>
  </sheetViews>
  <sheetFormatPr defaultColWidth="11.43359375" defaultRowHeight="15" x14ac:dyDescent="0.2"/>
  <cols>
    <col min="2" max="2" width="6.3203125" customWidth="1"/>
    <col min="3" max="3" width="65.51171875" customWidth="1"/>
    <col min="4" max="4" width="44.12109375" bestFit="1" customWidth="1"/>
    <col min="5" max="5" width="20.58203125" bestFit="1" customWidth="1"/>
  </cols>
  <sheetData>
    <row r="2" spans="2:5" x14ac:dyDescent="0.2">
      <c r="B2" s="3" t="s">
        <v>11</v>
      </c>
    </row>
    <row r="4" spans="2:5" x14ac:dyDescent="0.2">
      <c r="B4" s="234" t="s">
        <v>22</v>
      </c>
      <c r="C4" s="235" t="s">
        <v>3683</v>
      </c>
      <c r="D4" s="236" t="s">
        <v>3411</v>
      </c>
      <c r="E4" s="236" t="s">
        <v>3412</v>
      </c>
    </row>
    <row r="5" spans="2:5" x14ac:dyDescent="0.2">
      <c r="B5" s="247">
        <v>1</v>
      </c>
      <c r="C5" s="118" t="s">
        <v>28</v>
      </c>
      <c r="D5" s="118" t="s">
        <v>3684</v>
      </c>
      <c r="E5" s="247">
        <v>1051919887371</v>
      </c>
    </row>
    <row r="6" spans="2:5" x14ac:dyDescent="0.2">
      <c r="B6" s="247">
        <f t="shared" ref="B6:B69" si="0">B5+1</f>
        <v>2</v>
      </c>
      <c r="C6" s="118" t="s">
        <v>70</v>
      </c>
      <c r="D6" s="118" t="s">
        <v>3684</v>
      </c>
      <c r="E6" s="247">
        <v>807578291761</v>
      </c>
    </row>
    <row r="7" spans="2:5" x14ac:dyDescent="0.2">
      <c r="B7" s="247">
        <f t="shared" si="0"/>
        <v>3</v>
      </c>
      <c r="C7" s="118" t="s">
        <v>32</v>
      </c>
      <c r="D7" s="118" t="s">
        <v>3684</v>
      </c>
      <c r="E7" s="247">
        <v>747738286833</v>
      </c>
    </row>
    <row r="8" spans="2:5" x14ac:dyDescent="0.2">
      <c r="B8" s="247">
        <f t="shared" si="0"/>
        <v>4</v>
      </c>
      <c r="C8" s="118" t="s">
        <v>67</v>
      </c>
      <c r="D8" s="118" t="s">
        <v>3684</v>
      </c>
      <c r="E8" s="247">
        <v>532275904245</v>
      </c>
    </row>
    <row r="9" spans="2:5" x14ac:dyDescent="0.2">
      <c r="B9" s="247">
        <f t="shared" si="0"/>
        <v>5</v>
      </c>
      <c r="C9" s="118" t="s">
        <v>1728</v>
      </c>
      <c r="D9" s="118" t="s">
        <v>3684</v>
      </c>
      <c r="E9" s="247">
        <v>427629535125</v>
      </c>
    </row>
    <row r="10" spans="2:5" x14ac:dyDescent="0.2">
      <c r="B10" s="247">
        <f t="shared" si="0"/>
        <v>6</v>
      </c>
      <c r="C10" s="118" t="s">
        <v>610</v>
      </c>
      <c r="D10" s="118" t="s">
        <v>3414</v>
      </c>
      <c r="E10" s="247">
        <v>424039323917</v>
      </c>
    </row>
    <row r="11" spans="2:5" x14ac:dyDescent="0.2">
      <c r="B11" s="247">
        <f t="shared" si="0"/>
        <v>7</v>
      </c>
      <c r="C11" s="118" t="s">
        <v>36</v>
      </c>
      <c r="D11" s="118" t="s">
        <v>3684</v>
      </c>
      <c r="E11" s="247">
        <v>323454388687</v>
      </c>
    </row>
    <row r="12" spans="2:5" x14ac:dyDescent="0.2">
      <c r="B12" s="247">
        <f t="shared" si="0"/>
        <v>8</v>
      </c>
      <c r="C12" s="118" t="s">
        <v>3685</v>
      </c>
      <c r="D12" s="118" t="s">
        <v>3684</v>
      </c>
      <c r="E12" s="247">
        <v>224670139919</v>
      </c>
    </row>
    <row r="13" spans="2:5" x14ac:dyDescent="0.2">
      <c r="B13" s="247">
        <f t="shared" si="0"/>
        <v>9</v>
      </c>
      <c r="C13" s="118" t="s">
        <v>724</v>
      </c>
      <c r="D13" s="118" t="s">
        <v>3684</v>
      </c>
      <c r="E13" s="247">
        <v>157948302017</v>
      </c>
    </row>
    <row r="14" spans="2:5" x14ac:dyDescent="0.2">
      <c r="B14" s="247">
        <f t="shared" si="0"/>
        <v>10</v>
      </c>
      <c r="C14" s="118" t="s">
        <v>613</v>
      </c>
      <c r="D14" s="118" t="s">
        <v>3414</v>
      </c>
      <c r="E14" s="247">
        <v>118346300580</v>
      </c>
    </row>
    <row r="15" spans="2:5" x14ac:dyDescent="0.2">
      <c r="B15" s="247">
        <f t="shared" si="0"/>
        <v>11</v>
      </c>
      <c r="C15" s="118" t="s">
        <v>71</v>
      </c>
      <c r="D15" s="118" t="s">
        <v>3684</v>
      </c>
      <c r="E15" s="247">
        <v>106553960775</v>
      </c>
    </row>
    <row r="16" spans="2:5" x14ac:dyDescent="0.2">
      <c r="B16" s="247">
        <f t="shared" si="0"/>
        <v>12</v>
      </c>
      <c r="C16" s="118" t="s">
        <v>74</v>
      </c>
      <c r="D16" s="118" t="s">
        <v>3684</v>
      </c>
      <c r="E16" s="247">
        <v>66253180643</v>
      </c>
    </row>
    <row r="17" spans="2:5" x14ac:dyDescent="0.2">
      <c r="B17" s="247">
        <f t="shared" si="0"/>
        <v>13</v>
      </c>
      <c r="C17" s="118" t="s">
        <v>77</v>
      </c>
      <c r="D17" s="118" t="s">
        <v>678</v>
      </c>
      <c r="E17" s="247">
        <v>63396160729</v>
      </c>
    </row>
    <row r="18" spans="2:5" x14ac:dyDescent="0.2">
      <c r="B18" s="247">
        <f t="shared" si="0"/>
        <v>14</v>
      </c>
      <c r="C18" s="118" t="s">
        <v>44</v>
      </c>
      <c r="D18" s="118" t="s">
        <v>3684</v>
      </c>
      <c r="E18" s="247">
        <v>56036498750</v>
      </c>
    </row>
    <row r="19" spans="2:5" x14ac:dyDescent="0.2">
      <c r="B19" s="247">
        <f t="shared" si="0"/>
        <v>15</v>
      </c>
      <c r="C19" s="118" t="s">
        <v>614</v>
      </c>
      <c r="D19" s="118" t="s">
        <v>3414</v>
      </c>
      <c r="E19" s="247">
        <v>53067571030</v>
      </c>
    </row>
    <row r="20" spans="2:5" x14ac:dyDescent="0.2">
      <c r="B20" s="247">
        <f t="shared" si="0"/>
        <v>16</v>
      </c>
      <c r="C20" s="118" t="s">
        <v>75</v>
      </c>
      <c r="D20" s="118" t="s">
        <v>3684</v>
      </c>
      <c r="E20" s="247">
        <v>52223148474</v>
      </c>
    </row>
    <row r="21" spans="2:5" x14ac:dyDescent="0.2">
      <c r="B21" s="247">
        <f t="shared" si="0"/>
        <v>17</v>
      </c>
      <c r="C21" s="118" t="s">
        <v>3415</v>
      </c>
      <c r="D21" s="118" t="s">
        <v>3684</v>
      </c>
      <c r="E21" s="247">
        <v>51551022055</v>
      </c>
    </row>
    <row r="22" spans="2:5" x14ac:dyDescent="0.2">
      <c r="B22" s="247">
        <f t="shared" si="0"/>
        <v>18</v>
      </c>
      <c r="C22" s="118" t="s">
        <v>81</v>
      </c>
      <c r="D22" s="118" t="s">
        <v>3684</v>
      </c>
      <c r="E22" s="247">
        <v>47427393236</v>
      </c>
    </row>
    <row r="23" spans="2:5" x14ac:dyDescent="0.2">
      <c r="B23" s="247">
        <f t="shared" si="0"/>
        <v>19</v>
      </c>
      <c r="C23" s="118" t="s">
        <v>60</v>
      </c>
      <c r="D23" s="118" t="s">
        <v>3684</v>
      </c>
      <c r="E23" s="247">
        <v>44970812995</v>
      </c>
    </row>
    <row r="24" spans="2:5" x14ac:dyDescent="0.2">
      <c r="B24" s="247">
        <f t="shared" si="0"/>
        <v>20</v>
      </c>
      <c r="C24" s="118" t="s">
        <v>80</v>
      </c>
      <c r="D24" s="118" t="s">
        <v>3684</v>
      </c>
      <c r="E24" s="247">
        <v>44413614466</v>
      </c>
    </row>
    <row r="25" spans="2:5" x14ac:dyDescent="0.2">
      <c r="B25" s="247">
        <f t="shared" si="0"/>
        <v>21</v>
      </c>
      <c r="C25" s="118" t="s">
        <v>84</v>
      </c>
      <c r="D25" s="118" t="s">
        <v>3684</v>
      </c>
      <c r="E25" s="247">
        <v>37743391897</v>
      </c>
    </row>
    <row r="26" spans="2:5" x14ac:dyDescent="0.2">
      <c r="B26" s="247">
        <f t="shared" si="0"/>
        <v>22</v>
      </c>
      <c r="C26" s="118" t="s">
        <v>59</v>
      </c>
      <c r="D26" s="118" t="s">
        <v>3684</v>
      </c>
      <c r="E26" s="247">
        <v>34643182572</v>
      </c>
    </row>
    <row r="27" spans="2:5" x14ac:dyDescent="0.2">
      <c r="B27" s="247">
        <f t="shared" si="0"/>
        <v>23</v>
      </c>
      <c r="C27" s="118" t="s">
        <v>61</v>
      </c>
      <c r="D27" s="118" t="s">
        <v>3684</v>
      </c>
      <c r="E27" s="247">
        <v>37653376605.118797</v>
      </c>
    </row>
    <row r="28" spans="2:5" x14ac:dyDescent="0.2">
      <c r="B28" s="247">
        <f t="shared" si="0"/>
        <v>24</v>
      </c>
      <c r="C28" s="118" t="s">
        <v>79</v>
      </c>
      <c r="D28" s="118" t="s">
        <v>3684</v>
      </c>
      <c r="E28" s="247">
        <v>33466376652</v>
      </c>
    </row>
    <row r="29" spans="2:5" x14ac:dyDescent="0.2">
      <c r="B29" s="247">
        <f t="shared" si="0"/>
        <v>25</v>
      </c>
      <c r="C29" s="118" t="s">
        <v>89</v>
      </c>
      <c r="D29" s="118" t="s">
        <v>3684</v>
      </c>
      <c r="E29" s="247">
        <v>23197918206</v>
      </c>
    </row>
    <row r="30" spans="2:5" x14ac:dyDescent="0.2">
      <c r="B30" s="247">
        <f t="shared" si="0"/>
        <v>26</v>
      </c>
      <c r="C30" s="118" t="s">
        <v>88</v>
      </c>
      <c r="D30" s="118" t="s">
        <v>3684</v>
      </c>
      <c r="E30" s="247">
        <v>22869202812</v>
      </c>
    </row>
    <row r="31" spans="2:5" x14ac:dyDescent="0.2">
      <c r="B31" s="247">
        <f t="shared" si="0"/>
        <v>27</v>
      </c>
      <c r="C31" s="118" t="s">
        <v>615</v>
      </c>
      <c r="D31" s="118" t="s">
        <v>3414</v>
      </c>
      <c r="E31" s="247">
        <v>22356435085</v>
      </c>
    </row>
    <row r="32" spans="2:5" x14ac:dyDescent="0.2">
      <c r="B32" s="247">
        <f t="shared" si="0"/>
        <v>28</v>
      </c>
      <c r="C32" s="118" t="s">
        <v>3686</v>
      </c>
      <c r="D32" s="118" t="s">
        <v>3684</v>
      </c>
      <c r="E32" s="247">
        <v>22203354035</v>
      </c>
    </row>
    <row r="33" spans="2:5" x14ac:dyDescent="0.2">
      <c r="B33" s="247">
        <f t="shared" si="0"/>
        <v>29</v>
      </c>
      <c r="C33" s="118" t="s">
        <v>86</v>
      </c>
      <c r="D33" s="118" t="s">
        <v>3684</v>
      </c>
      <c r="E33" s="247">
        <v>20789713726</v>
      </c>
    </row>
    <row r="34" spans="2:5" x14ac:dyDescent="0.2">
      <c r="B34" s="247">
        <f t="shared" si="0"/>
        <v>30</v>
      </c>
      <c r="C34" s="118" t="s">
        <v>87</v>
      </c>
      <c r="D34" s="118" t="s">
        <v>3687</v>
      </c>
      <c r="E34" s="247">
        <v>19330217969</v>
      </c>
    </row>
    <row r="35" spans="2:5" x14ac:dyDescent="0.2">
      <c r="B35" s="247">
        <f t="shared" si="0"/>
        <v>31</v>
      </c>
      <c r="C35" s="118" t="s">
        <v>643</v>
      </c>
      <c r="D35" s="118" t="s">
        <v>3684</v>
      </c>
      <c r="E35" s="247">
        <v>19276910944</v>
      </c>
    </row>
    <row r="36" spans="2:5" x14ac:dyDescent="0.2">
      <c r="B36" s="247">
        <f t="shared" si="0"/>
        <v>32</v>
      </c>
      <c r="C36" s="118" t="s">
        <v>93</v>
      </c>
      <c r="D36" s="118" t="s">
        <v>3684</v>
      </c>
      <c r="E36" s="247">
        <v>16529261694</v>
      </c>
    </row>
    <row r="37" spans="2:5" x14ac:dyDescent="0.2">
      <c r="B37" s="247">
        <f t="shared" si="0"/>
        <v>33</v>
      </c>
      <c r="C37" s="118" t="s">
        <v>90</v>
      </c>
      <c r="D37" s="118" t="s">
        <v>3688</v>
      </c>
      <c r="E37" s="247">
        <v>15663757179</v>
      </c>
    </row>
    <row r="38" spans="2:5" x14ac:dyDescent="0.2">
      <c r="B38" s="247">
        <f t="shared" si="0"/>
        <v>34</v>
      </c>
      <c r="C38" s="118" t="s">
        <v>92</v>
      </c>
      <c r="D38" s="118" t="s">
        <v>3684</v>
      </c>
      <c r="E38" s="247">
        <v>15453036719</v>
      </c>
    </row>
    <row r="39" spans="2:5" x14ac:dyDescent="0.2">
      <c r="B39" s="247">
        <f t="shared" si="0"/>
        <v>35</v>
      </c>
      <c r="C39" s="118" t="s">
        <v>616</v>
      </c>
      <c r="D39" s="118" t="s">
        <v>3414</v>
      </c>
      <c r="E39" s="247">
        <v>14138512791</v>
      </c>
    </row>
    <row r="40" spans="2:5" x14ac:dyDescent="0.2">
      <c r="B40" s="247">
        <f t="shared" si="0"/>
        <v>36</v>
      </c>
      <c r="C40" s="118" t="s">
        <v>83</v>
      </c>
      <c r="D40" s="118" t="s">
        <v>3684</v>
      </c>
      <c r="E40" s="247">
        <v>11982322960</v>
      </c>
    </row>
    <row r="41" spans="2:5" x14ac:dyDescent="0.2">
      <c r="B41" s="247">
        <f t="shared" si="0"/>
        <v>37</v>
      </c>
      <c r="C41" s="118" t="s">
        <v>645</v>
      </c>
      <c r="D41" s="118" t="s">
        <v>3689</v>
      </c>
      <c r="E41" s="247">
        <v>11916141100</v>
      </c>
    </row>
    <row r="42" spans="2:5" x14ac:dyDescent="0.2">
      <c r="B42" s="247">
        <f t="shared" si="0"/>
        <v>38</v>
      </c>
      <c r="C42" s="118" t="s">
        <v>98</v>
      </c>
      <c r="D42" s="118" t="s">
        <v>3684</v>
      </c>
      <c r="E42" s="247">
        <v>11758128564</v>
      </c>
    </row>
    <row r="43" spans="2:5" x14ac:dyDescent="0.2">
      <c r="B43" s="247">
        <f t="shared" si="0"/>
        <v>39</v>
      </c>
      <c r="C43" s="118" t="s">
        <v>94</v>
      </c>
      <c r="D43" s="118" t="s">
        <v>3684</v>
      </c>
      <c r="E43" s="247">
        <v>11730043662.193333</v>
      </c>
    </row>
    <row r="44" spans="2:5" x14ac:dyDescent="0.2">
      <c r="B44" s="247">
        <f t="shared" si="0"/>
        <v>40</v>
      </c>
      <c r="C44" s="118" t="s">
        <v>138</v>
      </c>
      <c r="D44" s="118" t="s">
        <v>3684</v>
      </c>
      <c r="E44" s="247">
        <v>11516830444</v>
      </c>
    </row>
    <row r="45" spans="2:5" x14ac:dyDescent="0.2">
      <c r="B45" s="247">
        <f t="shared" si="0"/>
        <v>41</v>
      </c>
      <c r="C45" s="118" t="s">
        <v>97</v>
      </c>
      <c r="D45" s="118" t="s">
        <v>3684</v>
      </c>
      <c r="E45" s="247">
        <v>11450362381</v>
      </c>
    </row>
    <row r="46" spans="2:5" x14ac:dyDescent="0.2">
      <c r="B46" s="247">
        <f t="shared" si="0"/>
        <v>42</v>
      </c>
      <c r="C46" s="118" t="s">
        <v>95</v>
      </c>
      <c r="D46" s="118" t="s">
        <v>3684</v>
      </c>
      <c r="E46" s="247">
        <v>11171718955</v>
      </c>
    </row>
    <row r="47" spans="2:5" x14ac:dyDescent="0.2">
      <c r="B47" s="247">
        <f t="shared" si="0"/>
        <v>43</v>
      </c>
      <c r="C47" s="118" t="s">
        <v>102</v>
      </c>
      <c r="D47" s="118" t="s">
        <v>3688</v>
      </c>
      <c r="E47" s="247">
        <v>11057548145</v>
      </c>
    </row>
    <row r="48" spans="2:5" x14ac:dyDescent="0.2">
      <c r="B48" s="247">
        <f t="shared" si="0"/>
        <v>44</v>
      </c>
      <c r="C48" s="118" t="s">
        <v>96</v>
      </c>
      <c r="D48" s="118" t="s">
        <v>3687</v>
      </c>
      <c r="E48" s="247">
        <v>9609735804</v>
      </c>
    </row>
    <row r="49" spans="2:5" x14ac:dyDescent="0.2">
      <c r="B49" s="247">
        <f t="shared" si="0"/>
        <v>45</v>
      </c>
      <c r="C49" s="118" t="s">
        <v>617</v>
      </c>
      <c r="D49" s="118" t="s">
        <v>3414</v>
      </c>
      <c r="E49" s="247">
        <v>9051791294</v>
      </c>
    </row>
    <row r="50" spans="2:5" x14ac:dyDescent="0.2">
      <c r="B50" s="247">
        <f t="shared" si="0"/>
        <v>46</v>
      </c>
      <c r="C50" s="118" t="s">
        <v>618</v>
      </c>
      <c r="D50" s="118" t="s">
        <v>3414</v>
      </c>
      <c r="E50" s="247">
        <v>8348666598</v>
      </c>
    </row>
    <row r="51" spans="2:5" x14ac:dyDescent="0.2">
      <c r="B51" s="247">
        <f t="shared" si="0"/>
        <v>47</v>
      </c>
      <c r="C51" s="118" t="s">
        <v>106</v>
      </c>
      <c r="D51" s="118" t="s">
        <v>3687</v>
      </c>
      <c r="E51" s="247">
        <v>8011045611</v>
      </c>
    </row>
    <row r="52" spans="2:5" x14ac:dyDescent="0.2">
      <c r="B52" s="247">
        <f t="shared" si="0"/>
        <v>48</v>
      </c>
      <c r="C52" s="118" t="s">
        <v>3685</v>
      </c>
      <c r="D52" s="118" t="s">
        <v>3687</v>
      </c>
      <c r="E52" s="247">
        <v>7974185247</v>
      </c>
    </row>
    <row r="53" spans="2:5" x14ac:dyDescent="0.2">
      <c r="B53" s="247">
        <f t="shared" si="0"/>
        <v>49</v>
      </c>
      <c r="C53" s="118" t="s">
        <v>99</v>
      </c>
      <c r="D53" s="118" t="s">
        <v>3684</v>
      </c>
      <c r="E53" s="247">
        <v>7696838655</v>
      </c>
    </row>
    <row r="54" spans="2:5" x14ac:dyDescent="0.2">
      <c r="B54" s="247">
        <f t="shared" si="0"/>
        <v>50</v>
      </c>
      <c r="C54" s="118" t="s">
        <v>100</v>
      </c>
      <c r="D54" s="118" t="s">
        <v>3684</v>
      </c>
      <c r="E54" s="247">
        <v>7036359570</v>
      </c>
    </row>
    <row r="55" spans="2:5" x14ac:dyDescent="0.2">
      <c r="B55" s="247">
        <f t="shared" si="0"/>
        <v>51</v>
      </c>
      <c r="C55" s="118" t="s">
        <v>56</v>
      </c>
      <c r="D55" s="118" t="s">
        <v>3684</v>
      </c>
      <c r="E55" s="247">
        <v>5520113600</v>
      </c>
    </row>
    <row r="56" spans="2:5" x14ac:dyDescent="0.2">
      <c r="B56" s="247">
        <f t="shared" si="0"/>
        <v>52</v>
      </c>
      <c r="C56" s="118" t="s">
        <v>73</v>
      </c>
      <c r="D56" s="118" t="s">
        <v>3684</v>
      </c>
      <c r="E56" s="247">
        <v>5251459929</v>
      </c>
    </row>
    <row r="57" spans="2:5" x14ac:dyDescent="0.2">
      <c r="B57" s="247">
        <f t="shared" si="0"/>
        <v>53</v>
      </c>
      <c r="C57" s="118" t="s">
        <v>101</v>
      </c>
      <c r="D57" s="118" t="s">
        <v>3687</v>
      </c>
      <c r="E57" s="247">
        <v>4992805998</v>
      </c>
    </row>
    <row r="58" spans="2:5" x14ac:dyDescent="0.2">
      <c r="B58" s="247">
        <f t="shared" si="0"/>
        <v>54</v>
      </c>
      <c r="C58" s="118" t="s">
        <v>103</v>
      </c>
      <c r="D58" s="118" t="s">
        <v>3687</v>
      </c>
      <c r="E58" s="247">
        <v>4829560170</v>
      </c>
    </row>
    <row r="59" spans="2:5" x14ac:dyDescent="0.2">
      <c r="B59" s="247">
        <f t="shared" si="0"/>
        <v>55</v>
      </c>
      <c r="C59" s="118" t="s">
        <v>104</v>
      </c>
      <c r="D59" s="118" t="s">
        <v>3684</v>
      </c>
      <c r="E59" s="247">
        <v>4594416161</v>
      </c>
    </row>
    <row r="60" spans="2:5" x14ac:dyDescent="0.2">
      <c r="B60" s="247">
        <f t="shared" si="0"/>
        <v>56</v>
      </c>
      <c r="C60" s="118" t="s">
        <v>105</v>
      </c>
      <c r="D60" s="118" t="s">
        <v>3684</v>
      </c>
      <c r="E60" s="247">
        <v>4319185275</v>
      </c>
    </row>
    <row r="61" spans="2:5" x14ac:dyDescent="0.2">
      <c r="B61" s="247">
        <f t="shared" si="0"/>
        <v>57</v>
      </c>
      <c r="C61" s="118" t="s">
        <v>619</v>
      </c>
      <c r="D61" s="118" t="s">
        <v>3414</v>
      </c>
      <c r="E61" s="247">
        <v>3677665689</v>
      </c>
    </row>
    <row r="62" spans="2:5" x14ac:dyDescent="0.2">
      <c r="B62" s="247">
        <f t="shared" si="0"/>
        <v>58</v>
      </c>
      <c r="C62" s="118" t="s">
        <v>107</v>
      </c>
      <c r="D62" s="118" t="s">
        <v>3687</v>
      </c>
      <c r="E62" s="247">
        <v>3529649577</v>
      </c>
    </row>
    <row r="63" spans="2:5" x14ac:dyDescent="0.2">
      <c r="B63" s="247">
        <f t="shared" si="0"/>
        <v>59</v>
      </c>
      <c r="C63" s="118" t="s">
        <v>111</v>
      </c>
      <c r="D63" s="118" t="s">
        <v>3687</v>
      </c>
      <c r="E63" s="247">
        <v>3278747986</v>
      </c>
    </row>
    <row r="64" spans="2:5" x14ac:dyDescent="0.2">
      <c r="B64" s="247">
        <f t="shared" si="0"/>
        <v>60</v>
      </c>
      <c r="C64" s="118" t="s">
        <v>108</v>
      </c>
      <c r="D64" s="118" t="s">
        <v>3687</v>
      </c>
      <c r="E64" s="247">
        <v>2810237957</v>
      </c>
    </row>
    <row r="65" spans="2:5" x14ac:dyDescent="0.2">
      <c r="B65" s="247">
        <f t="shared" si="0"/>
        <v>61</v>
      </c>
      <c r="C65" s="118" t="s">
        <v>112</v>
      </c>
      <c r="D65" s="118" t="s">
        <v>3684</v>
      </c>
      <c r="E65" s="247">
        <v>2543480314</v>
      </c>
    </row>
    <row r="66" spans="2:5" x14ac:dyDescent="0.2">
      <c r="B66" s="247">
        <f t="shared" si="0"/>
        <v>62</v>
      </c>
      <c r="C66" s="118" t="s">
        <v>113</v>
      </c>
      <c r="D66" s="118" t="s">
        <v>3684</v>
      </c>
      <c r="E66" s="247">
        <v>2398173713</v>
      </c>
    </row>
    <row r="67" spans="2:5" x14ac:dyDescent="0.2">
      <c r="B67" s="247">
        <f t="shared" si="0"/>
        <v>63</v>
      </c>
      <c r="C67" s="118" t="s">
        <v>114</v>
      </c>
      <c r="D67" s="118" t="s">
        <v>3684</v>
      </c>
      <c r="E67" s="247">
        <v>2295152745</v>
      </c>
    </row>
    <row r="68" spans="2:5" x14ac:dyDescent="0.2">
      <c r="B68" s="247">
        <f t="shared" si="0"/>
        <v>64</v>
      </c>
      <c r="C68" s="118" t="s">
        <v>115</v>
      </c>
      <c r="D68" s="118" t="s">
        <v>3684</v>
      </c>
      <c r="E68" s="247">
        <v>2224172485</v>
      </c>
    </row>
    <row r="69" spans="2:5" x14ac:dyDescent="0.2">
      <c r="B69" s="247">
        <f t="shared" si="0"/>
        <v>65</v>
      </c>
      <c r="C69" s="118" t="s">
        <v>40</v>
      </c>
      <c r="D69" s="118" t="s">
        <v>3684</v>
      </c>
      <c r="E69" s="247">
        <v>2194557094</v>
      </c>
    </row>
    <row r="70" spans="2:5" x14ac:dyDescent="0.2">
      <c r="B70" s="247">
        <f t="shared" ref="B70:B133" si="1">B69+1</f>
        <v>66</v>
      </c>
      <c r="C70" s="118" t="s">
        <v>3418</v>
      </c>
      <c r="D70" s="118" t="s">
        <v>3684</v>
      </c>
      <c r="E70" s="247">
        <v>2130661134</v>
      </c>
    </row>
    <row r="71" spans="2:5" x14ac:dyDescent="0.2">
      <c r="B71" s="247">
        <f t="shared" si="1"/>
        <v>67</v>
      </c>
      <c r="C71" s="118" t="s">
        <v>109</v>
      </c>
      <c r="D71" s="118" t="s">
        <v>3684</v>
      </c>
      <c r="E71" s="247">
        <v>2042468686</v>
      </c>
    </row>
    <row r="72" spans="2:5" x14ac:dyDescent="0.2">
      <c r="B72" s="247">
        <f t="shared" si="1"/>
        <v>68</v>
      </c>
      <c r="C72" s="118" t="s">
        <v>116</v>
      </c>
      <c r="D72" s="118" t="s">
        <v>3687</v>
      </c>
      <c r="E72" s="247">
        <v>1960965063</v>
      </c>
    </row>
    <row r="73" spans="2:5" x14ac:dyDescent="0.2">
      <c r="B73" s="247">
        <f t="shared" si="1"/>
        <v>69</v>
      </c>
      <c r="C73" s="118" t="s">
        <v>621</v>
      </c>
      <c r="D73" s="118" t="s">
        <v>3414</v>
      </c>
      <c r="E73" s="247">
        <v>1934834174</v>
      </c>
    </row>
    <row r="74" spans="2:5" x14ac:dyDescent="0.2">
      <c r="B74" s="247">
        <f t="shared" si="1"/>
        <v>70</v>
      </c>
      <c r="C74" s="118" t="s">
        <v>131</v>
      </c>
      <c r="D74" s="118" t="s">
        <v>3684</v>
      </c>
      <c r="E74" s="247">
        <v>1918876063</v>
      </c>
    </row>
    <row r="75" spans="2:5" x14ac:dyDescent="0.2">
      <c r="B75" s="247">
        <f t="shared" si="1"/>
        <v>71</v>
      </c>
      <c r="C75" s="118" t="s">
        <v>123</v>
      </c>
      <c r="D75" s="118" t="s">
        <v>3684</v>
      </c>
      <c r="E75" s="247">
        <v>1840490945</v>
      </c>
    </row>
    <row r="76" spans="2:5" x14ac:dyDescent="0.2">
      <c r="B76" s="247">
        <f t="shared" si="1"/>
        <v>72</v>
      </c>
      <c r="C76" s="118" t="s">
        <v>120</v>
      </c>
      <c r="D76" s="118" t="s">
        <v>3684</v>
      </c>
      <c r="E76" s="247">
        <v>1830946983</v>
      </c>
    </row>
    <row r="77" spans="2:5" x14ac:dyDescent="0.2">
      <c r="B77" s="247">
        <f t="shared" si="1"/>
        <v>73</v>
      </c>
      <c r="C77" s="118" t="s">
        <v>140</v>
      </c>
      <c r="D77" s="118" t="s">
        <v>3687</v>
      </c>
      <c r="E77" s="247">
        <v>1786642113</v>
      </c>
    </row>
    <row r="78" spans="2:5" x14ac:dyDescent="0.2">
      <c r="B78" s="247">
        <f t="shared" si="1"/>
        <v>74</v>
      </c>
      <c r="C78" s="118" t="s">
        <v>134</v>
      </c>
      <c r="D78" s="118" t="s">
        <v>3684</v>
      </c>
      <c r="E78" s="247">
        <v>1785324844</v>
      </c>
    </row>
    <row r="79" spans="2:5" x14ac:dyDescent="0.2">
      <c r="B79" s="247">
        <f t="shared" si="1"/>
        <v>75</v>
      </c>
      <c r="C79" s="118" t="s">
        <v>117</v>
      </c>
      <c r="D79" s="118" t="s">
        <v>3684</v>
      </c>
      <c r="E79" s="247">
        <v>1741068873</v>
      </c>
    </row>
    <row r="80" spans="2:5" x14ac:dyDescent="0.2">
      <c r="B80" s="247">
        <f t="shared" si="1"/>
        <v>76</v>
      </c>
      <c r="C80" s="118" t="s">
        <v>118</v>
      </c>
      <c r="D80" s="118" t="s">
        <v>3687</v>
      </c>
      <c r="E80" s="247">
        <v>1713981439</v>
      </c>
    </row>
    <row r="81" spans="2:5" x14ac:dyDescent="0.2">
      <c r="B81" s="247">
        <f t="shared" si="1"/>
        <v>77</v>
      </c>
      <c r="C81" s="118" t="s">
        <v>121</v>
      </c>
      <c r="D81" s="118" t="s">
        <v>3684</v>
      </c>
      <c r="E81" s="247">
        <v>1706548441</v>
      </c>
    </row>
    <row r="82" spans="2:5" x14ac:dyDescent="0.2">
      <c r="B82" s="247">
        <f t="shared" si="1"/>
        <v>78</v>
      </c>
      <c r="C82" s="118" t="s">
        <v>125</v>
      </c>
      <c r="D82" s="118" t="s">
        <v>3687</v>
      </c>
      <c r="E82" s="247">
        <v>1656738452</v>
      </c>
    </row>
    <row r="83" spans="2:5" x14ac:dyDescent="0.2">
      <c r="B83" s="247">
        <f t="shared" si="1"/>
        <v>79</v>
      </c>
      <c r="C83" s="118" t="s">
        <v>3419</v>
      </c>
      <c r="D83" s="118" t="s">
        <v>3420</v>
      </c>
      <c r="E83" s="247">
        <v>1620259167</v>
      </c>
    </row>
    <row r="84" spans="2:5" x14ac:dyDescent="0.2">
      <c r="B84" s="247">
        <f t="shared" si="1"/>
        <v>80</v>
      </c>
      <c r="C84" s="118" t="s">
        <v>620</v>
      </c>
      <c r="D84" s="118" t="s">
        <v>3414</v>
      </c>
      <c r="E84" s="247">
        <v>1578552967</v>
      </c>
    </row>
    <row r="85" spans="2:5" x14ac:dyDescent="0.2">
      <c r="B85" s="247">
        <f t="shared" si="1"/>
        <v>81</v>
      </c>
      <c r="C85" s="118" t="s">
        <v>122</v>
      </c>
      <c r="D85" s="118" t="s">
        <v>3687</v>
      </c>
      <c r="E85" s="247">
        <v>1540060608</v>
      </c>
    </row>
    <row r="86" spans="2:5" x14ac:dyDescent="0.2">
      <c r="B86" s="247">
        <f t="shared" si="1"/>
        <v>82</v>
      </c>
      <c r="C86" s="118" t="s">
        <v>639</v>
      </c>
      <c r="D86" s="118" t="s">
        <v>3690</v>
      </c>
      <c r="E86" s="247">
        <v>1534430767</v>
      </c>
    </row>
    <row r="87" spans="2:5" x14ac:dyDescent="0.2">
      <c r="B87" s="247">
        <f t="shared" si="1"/>
        <v>83</v>
      </c>
      <c r="C87" s="118" t="s">
        <v>624</v>
      </c>
      <c r="D87" s="118" t="s">
        <v>3414</v>
      </c>
      <c r="E87" s="247">
        <v>1531748414</v>
      </c>
    </row>
    <row r="88" spans="2:5" x14ac:dyDescent="0.2">
      <c r="B88" s="247">
        <f t="shared" si="1"/>
        <v>84</v>
      </c>
      <c r="C88" s="118" t="s">
        <v>646</v>
      </c>
      <c r="D88" s="118" t="s">
        <v>3689</v>
      </c>
      <c r="E88" s="247">
        <v>1515840061</v>
      </c>
    </row>
    <row r="89" spans="2:5" x14ac:dyDescent="0.2">
      <c r="B89" s="247">
        <f t="shared" si="1"/>
        <v>85</v>
      </c>
      <c r="C89" s="118" t="s">
        <v>126</v>
      </c>
      <c r="D89" s="118" t="s">
        <v>3687</v>
      </c>
      <c r="E89" s="247">
        <v>1454876039</v>
      </c>
    </row>
    <row r="90" spans="2:5" x14ac:dyDescent="0.2">
      <c r="B90" s="247">
        <f t="shared" si="1"/>
        <v>86</v>
      </c>
      <c r="C90" s="118" t="s">
        <v>622</v>
      </c>
      <c r="D90" s="118" t="s">
        <v>3414</v>
      </c>
      <c r="E90" s="247">
        <v>1368910300</v>
      </c>
    </row>
    <row r="91" spans="2:5" x14ac:dyDescent="0.2">
      <c r="B91" s="247">
        <f t="shared" si="1"/>
        <v>87</v>
      </c>
      <c r="C91" s="118" t="s">
        <v>132</v>
      </c>
      <c r="D91" s="118" t="s">
        <v>3684</v>
      </c>
      <c r="E91" s="247">
        <v>1357116833</v>
      </c>
    </row>
    <row r="92" spans="2:5" x14ac:dyDescent="0.2">
      <c r="B92" s="247">
        <f t="shared" si="1"/>
        <v>88</v>
      </c>
      <c r="C92" s="118" t="s">
        <v>647</v>
      </c>
      <c r="D92" s="118" t="s">
        <v>3689</v>
      </c>
      <c r="E92" s="247">
        <v>1316263104</v>
      </c>
    </row>
    <row r="93" spans="2:5" x14ac:dyDescent="0.2">
      <c r="B93" s="247">
        <f t="shared" si="1"/>
        <v>89</v>
      </c>
      <c r="C93" s="118" t="s">
        <v>128</v>
      </c>
      <c r="D93" s="118" t="s">
        <v>3687</v>
      </c>
      <c r="E93" s="247">
        <v>1262920326</v>
      </c>
    </row>
    <row r="94" spans="2:5" x14ac:dyDescent="0.2">
      <c r="B94" s="247">
        <f t="shared" si="1"/>
        <v>90</v>
      </c>
      <c r="C94" s="118" t="s">
        <v>127</v>
      </c>
      <c r="D94" s="118" t="s">
        <v>3687</v>
      </c>
      <c r="E94" s="247">
        <v>1251812687</v>
      </c>
    </row>
    <row r="95" spans="2:5" x14ac:dyDescent="0.2">
      <c r="B95" s="247">
        <f t="shared" si="1"/>
        <v>91</v>
      </c>
      <c r="C95" s="118" t="s">
        <v>141</v>
      </c>
      <c r="D95" s="118" t="s">
        <v>3684</v>
      </c>
      <c r="E95" s="247">
        <v>1222461553</v>
      </c>
    </row>
    <row r="96" spans="2:5" x14ac:dyDescent="0.2">
      <c r="B96" s="247">
        <f t="shared" si="1"/>
        <v>92</v>
      </c>
      <c r="C96" s="118" t="s">
        <v>135</v>
      </c>
      <c r="D96" s="118" t="s">
        <v>3687</v>
      </c>
      <c r="E96" s="247">
        <v>1220272943</v>
      </c>
    </row>
    <row r="97" spans="2:5" x14ac:dyDescent="0.2">
      <c r="B97" s="247">
        <f t="shared" si="1"/>
        <v>93</v>
      </c>
      <c r="C97" s="118" t="s">
        <v>623</v>
      </c>
      <c r="D97" s="118" t="s">
        <v>3414</v>
      </c>
      <c r="E97" s="247">
        <v>1218289265</v>
      </c>
    </row>
    <row r="98" spans="2:5" x14ac:dyDescent="0.2">
      <c r="B98" s="247">
        <f t="shared" si="1"/>
        <v>94</v>
      </c>
      <c r="C98" s="118" t="s">
        <v>129</v>
      </c>
      <c r="D98" s="118" t="s">
        <v>3684</v>
      </c>
      <c r="E98" s="247">
        <v>1187389271</v>
      </c>
    </row>
    <row r="99" spans="2:5" x14ac:dyDescent="0.2">
      <c r="B99" s="247">
        <f t="shared" si="1"/>
        <v>95</v>
      </c>
      <c r="C99" s="118" t="s">
        <v>136</v>
      </c>
      <c r="D99" s="118" t="s">
        <v>3684</v>
      </c>
      <c r="E99" s="247">
        <v>1180620128</v>
      </c>
    </row>
    <row r="100" spans="2:5" x14ac:dyDescent="0.2">
      <c r="B100" s="247">
        <f t="shared" si="1"/>
        <v>96</v>
      </c>
      <c r="C100" s="118" t="s">
        <v>137</v>
      </c>
      <c r="D100" s="118" t="s">
        <v>3684</v>
      </c>
      <c r="E100" s="247">
        <v>1177402750</v>
      </c>
    </row>
    <row r="101" spans="2:5" x14ac:dyDescent="0.2">
      <c r="B101" s="247">
        <f t="shared" si="1"/>
        <v>97</v>
      </c>
      <c r="C101" s="118" t="s">
        <v>139</v>
      </c>
      <c r="D101" s="118" t="s">
        <v>3687</v>
      </c>
      <c r="E101" s="247">
        <v>1130320247</v>
      </c>
    </row>
    <row r="102" spans="2:5" x14ac:dyDescent="0.2">
      <c r="B102" s="247">
        <f t="shared" si="1"/>
        <v>98</v>
      </c>
      <c r="C102" s="118" t="s">
        <v>119</v>
      </c>
      <c r="D102" s="118" t="s">
        <v>3684</v>
      </c>
      <c r="E102" s="247">
        <v>1055073328</v>
      </c>
    </row>
    <row r="103" spans="2:5" x14ac:dyDescent="0.2">
      <c r="B103" s="247">
        <f t="shared" si="1"/>
        <v>99</v>
      </c>
      <c r="C103" s="118" t="s">
        <v>130</v>
      </c>
      <c r="D103" s="118" t="s">
        <v>3684</v>
      </c>
      <c r="E103" s="247">
        <v>1036190459</v>
      </c>
    </row>
    <row r="104" spans="2:5" x14ac:dyDescent="0.2">
      <c r="B104" s="247">
        <f t="shared" si="1"/>
        <v>100</v>
      </c>
      <c r="C104" s="118" t="s">
        <v>648</v>
      </c>
      <c r="D104" s="118" t="s">
        <v>3689</v>
      </c>
      <c r="E104" s="247">
        <v>968763898</v>
      </c>
    </row>
    <row r="105" spans="2:5" x14ac:dyDescent="0.2">
      <c r="B105" s="247">
        <f t="shared" si="1"/>
        <v>101</v>
      </c>
      <c r="C105" s="118" t="s">
        <v>151</v>
      </c>
      <c r="D105" s="118" t="s">
        <v>3684</v>
      </c>
      <c r="E105" s="247">
        <v>936460814</v>
      </c>
    </row>
    <row r="106" spans="2:5" x14ac:dyDescent="0.2">
      <c r="B106" s="247">
        <f t="shared" si="1"/>
        <v>102</v>
      </c>
      <c r="C106" s="118" t="s">
        <v>144</v>
      </c>
      <c r="D106" s="118" t="s">
        <v>3684</v>
      </c>
      <c r="E106" s="247">
        <v>835998300</v>
      </c>
    </row>
    <row r="107" spans="2:5" x14ac:dyDescent="0.2">
      <c r="B107" s="247">
        <f t="shared" si="1"/>
        <v>103</v>
      </c>
      <c r="C107" s="118" t="s">
        <v>153</v>
      </c>
      <c r="D107" s="118" t="s">
        <v>3684</v>
      </c>
      <c r="E107" s="247">
        <v>831606651</v>
      </c>
    </row>
    <row r="108" spans="2:5" x14ac:dyDescent="0.2">
      <c r="B108" s="247">
        <f t="shared" si="1"/>
        <v>104</v>
      </c>
      <c r="C108" s="118" t="s">
        <v>143</v>
      </c>
      <c r="D108" s="118" t="s">
        <v>3687</v>
      </c>
      <c r="E108" s="247">
        <v>824531333</v>
      </c>
    </row>
    <row r="109" spans="2:5" x14ac:dyDescent="0.2">
      <c r="B109" s="247">
        <f t="shared" si="1"/>
        <v>105</v>
      </c>
      <c r="C109" s="118" t="s">
        <v>145</v>
      </c>
      <c r="D109" s="118" t="s">
        <v>3684</v>
      </c>
      <c r="E109" s="247">
        <v>816527028</v>
      </c>
    </row>
    <row r="110" spans="2:5" x14ac:dyDescent="0.2">
      <c r="B110" s="247">
        <f t="shared" si="1"/>
        <v>106</v>
      </c>
      <c r="C110" s="118" t="s">
        <v>625</v>
      </c>
      <c r="D110" s="118" t="s">
        <v>3414</v>
      </c>
      <c r="E110" s="247">
        <v>802694334</v>
      </c>
    </row>
    <row r="111" spans="2:5" x14ac:dyDescent="0.2">
      <c r="B111" s="247">
        <f t="shared" si="1"/>
        <v>107</v>
      </c>
      <c r="C111" s="118" t="s">
        <v>148</v>
      </c>
      <c r="D111" s="118" t="s">
        <v>3684</v>
      </c>
      <c r="E111" s="247">
        <v>786286099</v>
      </c>
    </row>
    <row r="112" spans="2:5" x14ac:dyDescent="0.2">
      <c r="B112" s="247">
        <f t="shared" si="1"/>
        <v>108</v>
      </c>
      <c r="C112" s="118" t="s">
        <v>147</v>
      </c>
      <c r="D112" s="118" t="s">
        <v>3684</v>
      </c>
      <c r="E112" s="247">
        <v>781808400</v>
      </c>
    </row>
    <row r="113" spans="2:5" x14ac:dyDescent="0.2">
      <c r="B113" s="247">
        <f t="shared" si="1"/>
        <v>109</v>
      </c>
      <c r="C113" s="118" t="s">
        <v>146</v>
      </c>
      <c r="D113" s="118" t="s">
        <v>3684</v>
      </c>
      <c r="E113" s="247">
        <v>780494926</v>
      </c>
    </row>
    <row r="114" spans="2:5" x14ac:dyDescent="0.2">
      <c r="B114" s="247">
        <f t="shared" si="1"/>
        <v>110</v>
      </c>
      <c r="C114" s="118" t="s">
        <v>149</v>
      </c>
      <c r="D114" s="118" t="s">
        <v>3687</v>
      </c>
      <c r="E114" s="247">
        <v>748081736</v>
      </c>
    </row>
    <row r="115" spans="2:5" x14ac:dyDescent="0.2">
      <c r="B115" s="247">
        <f t="shared" si="1"/>
        <v>111</v>
      </c>
      <c r="C115" s="118" t="s">
        <v>649</v>
      </c>
      <c r="D115" s="118" t="s">
        <v>3689</v>
      </c>
      <c r="E115" s="247">
        <v>738293100</v>
      </c>
    </row>
    <row r="116" spans="2:5" x14ac:dyDescent="0.2">
      <c r="B116" s="247">
        <f t="shared" si="1"/>
        <v>112</v>
      </c>
      <c r="C116" s="118" t="s">
        <v>3421</v>
      </c>
      <c r="D116" s="118" t="s">
        <v>3684</v>
      </c>
      <c r="E116" s="247">
        <v>710162902</v>
      </c>
    </row>
    <row r="117" spans="2:5" x14ac:dyDescent="0.2">
      <c r="B117" s="247">
        <f t="shared" si="1"/>
        <v>113</v>
      </c>
      <c r="C117" s="118" t="s">
        <v>152</v>
      </c>
      <c r="D117" s="118" t="s">
        <v>3684</v>
      </c>
      <c r="E117" s="247">
        <v>695172499</v>
      </c>
    </row>
    <row r="118" spans="2:5" x14ac:dyDescent="0.2">
      <c r="B118" s="247">
        <f t="shared" si="1"/>
        <v>114</v>
      </c>
      <c r="C118" s="118" t="s">
        <v>150</v>
      </c>
      <c r="D118" s="118" t="s">
        <v>3684</v>
      </c>
      <c r="E118" s="247">
        <v>677824397</v>
      </c>
    </row>
    <row r="119" spans="2:5" x14ac:dyDescent="0.2">
      <c r="B119" s="247">
        <f t="shared" si="1"/>
        <v>115</v>
      </c>
      <c r="C119" s="118" t="s">
        <v>156</v>
      </c>
      <c r="D119" s="118" t="s">
        <v>3684</v>
      </c>
      <c r="E119" s="247">
        <v>661688589</v>
      </c>
    </row>
    <row r="120" spans="2:5" x14ac:dyDescent="0.2">
      <c r="B120" s="247">
        <f t="shared" si="1"/>
        <v>116</v>
      </c>
      <c r="C120" s="118" t="s">
        <v>3422</v>
      </c>
      <c r="D120" s="118" t="s">
        <v>3684</v>
      </c>
      <c r="E120" s="247">
        <v>661475463</v>
      </c>
    </row>
    <row r="121" spans="2:5" x14ac:dyDescent="0.2">
      <c r="B121" s="247">
        <f t="shared" si="1"/>
        <v>117</v>
      </c>
      <c r="C121" s="118" t="s">
        <v>157</v>
      </c>
      <c r="D121" s="118" t="s">
        <v>3687</v>
      </c>
      <c r="E121" s="247">
        <v>655943264</v>
      </c>
    </row>
    <row r="122" spans="2:5" x14ac:dyDescent="0.2">
      <c r="B122" s="247">
        <f t="shared" si="1"/>
        <v>118</v>
      </c>
      <c r="C122" s="118" t="s">
        <v>155</v>
      </c>
      <c r="D122" s="118" t="s">
        <v>3684</v>
      </c>
      <c r="E122" s="247">
        <v>650958639</v>
      </c>
    </row>
    <row r="123" spans="2:5" x14ac:dyDescent="0.2">
      <c r="B123" s="247">
        <f t="shared" si="1"/>
        <v>119</v>
      </c>
      <c r="C123" s="118" t="s">
        <v>159</v>
      </c>
      <c r="D123" s="118" t="s">
        <v>3687</v>
      </c>
      <c r="E123" s="247">
        <v>625543789</v>
      </c>
    </row>
    <row r="124" spans="2:5" x14ac:dyDescent="0.2">
      <c r="B124" s="247">
        <f t="shared" si="1"/>
        <v>120</v>
      </c>
      <c r="C124" s="118" t="s">
        <v>158</v>
      </c>
      <c r="D124" s="118" t="s">
        <v>3684</v>
      </c>
      <c r="E124" s="247">
        <v>614902031</v>
      </c>
    </row>
    <row r="125" spans="2:5" x14ac:dyDescent="0.2">
      <c r="B125" s="247">
        <f t="shared" si="1"/>
        <v>121</v>
      </c>
      <c r="C125" s="118" t="s">
        <v>650</v>
      </c>
      <c r="D125" s="118" t="s">
        <v>3689</v>
      </c>
      <c r="E125" s="247">
        <v>599406300</v>
      </c>
    </row>
    <row r="126" spans="2:5" x14ac:dyDescent="0.2">
      <c r="B126" s="247">
        <f t="shared" si="1"/>
        <v>122</v>
      </c>
      <c r="C126" s="118" t="s">
        <v>642</v>
      </c>
      <c r="D126" s="118" t="s">
        <v>3690</v>
      </c>
      <c r="E126" s="247">
        <v>598457346</v>
      </c>
    </row>
    <row r="127" spans="2:5" x14ac:dyDescent="0.2">
      <c r="B127" s="247">
        <f t="shared" si="1"/>
        <v>123</v>
      </c>
      <c r="C127" s="118" t="s">
        <v>627</v>
      </c>
      <c r="D127" s="118" t="s">
        <v>3414</v>
      </c>
      <c r="E127" s="247">
        <v>583368861</v>
      </c>
    </row>
    <row r="128" spans="2:5" x14ac:dyDescent="0.2">
      <c r="B128" s="247">
        <f t="shared" si="1"/>
        <v>124</v>
      </c>
      <c r="C128" s="118" t="s">
        <v>3423</v>
      </c>
      <c r="D128" s="118" t="s">
        <v>3684</v>
      </c>
      <c r="E128" s="247">
        <v>575210668</v>
      </c>
    </row>
    <row r="129" spans="2:5" x14ac:dyDescent="0.2">
      <c r="B129" s="247">
        <f t="shared" si="1"/>
        <v>125</v>
      </c>
      <c r="C129" s="118" t="s">
        <v>160</v>
      </c>
      <c r="D129" s="118" t="s">
        <v>3687</v>
      </c>
      <c r="E129" s="247">
        <v>574747613</v>
      </c>
    </row>
    <row r="130" spans="2:5" x14ac:dyDescent="0.2">
      <c r="B130" s="247">
        <f t="shared" si="1"/>
        <v>126</v>
      </c>
      <c r="C130" s="118" t="s">
        <v>626</v>
      </c>
      <c r="D130" s="118" t="s">
        <v>3414</v>
      </c>
      <c r="E130" s="247">
        <v>548125913</v>
      </c>
    </row>
    <row r="131" spans="2:5" x14ac:dyDescent="0.2">
      <c r="B131" s="247">
        <f t="shared" si="1"/>
        <v>127</v>
      </c>
      <c r="C131" s="118" t="s">
        <v>82</v>
      </c>
      <c r="D131" s="118" t="s">
        <v>3684</v>
      </c>
      <c r="E131" s="247">
        <v>535839708</v>
      </c>
    </row>
    <row r="132" spans="2:5" x14ac:dyDescent="0.2">
      <c r="B132" s="247">
        <f t="shared" si="1"/>
        <v>128</v>
      </c>
      <c r="C132" s="118" t="s">
        <v>161</v>
      </c>
      <c r="D132" s="118" t="s">
        <v>3684</v>
      </c>
      <c r="E132" s="247">
        <v>531592153</v>
      </c>
    </row>
    <row r="133" spans="2:5" x14ac:dyDescent="0.2">
      <c r="B133" s="247">
        <f t="shared" si="1"/>
        <v>129</v>
      </c>
      <c r="C133" s="118" t="s">
        <v>3424</v>
      </c>
      <c r="D133" s="118" t="s">
        <v>3684</v>
      </c>
      <c r="E133" s="247">
        <v>524113121</v>
      </c>
    </row>
    <row r="134" spans="2:5" x14ac:dyDescent="0.2">
      <c r="B134" s="247">
        <f t="shared" ref="B134:B197" si="2">B133+1</f>
        <v>130</v>
      </c>
      <c r="C134" s="118" t="s">
        <v>185</v>
      </c>
      <c r="D134" s="118" t="s">
        <v>3684</v>
      </c>
      <c r="E134" s="247">
        <v>518117751</v>
      </c>
    </row>
    <row r="135" spans="2:5" x14ac:dyDescent="0.2">
      <c r="B135" s="247">
        <f t="shared" si="2"/>
        <v>131</v>
      </c>
      <c r="C135" s="118" t="s">
        <v>163</v>
      </c>
      <c r="D135" s="118" t="s">
        <v>3684</v>
      </c>
      <c r="E135" s="247">
        <v>510767299</v>
      </c>
    </row>
    <row r="136" spans="2:5" x14ac:dyDescent="0.2">
      <c r="B136" s="247">
        <f t="shared" si="2"/>
        <v>132</v>
      </c>
      <c r="C136" s="118" t="s">
        <v>164</v>
      </c>
      <c r="D136" s="118" t="s">
        <v>3687</v>
      </c>
      <c r="E136" s="247">
        <v>503657287</v>
      </c>
    </row>
    <row r="137" spans="2:5" x14ac:dyDescent="0.2">
      <c r="B137" s="247">
        <f t="shared" si="2"/>
        <v>133</v>
      </c>
      <c r="C137" s="118" t="s">
        <v>180</v>
      </c>
      <c r="D137" s="118" t="s">
        <v>3684</v>
      </c>
      <c r="E137" s="247">
        <v>498447265</v>
      </c>
    </row>
    <row r="138" spans="2:5" x14ac:dyDescent="0.2">
      <c r="B138" s="247">
        <f t="shared" si="2"/>
        <v>134</v>
      </c>
      <c r="C138" s="118" t="s">
        <v>628</v>
      </c>
      <c r="D138" s="118" t="s">
        <v>3414</v>
      </c>
      <c r="E138" s="247">
        <v>493406008</v>
      </c>
    </row>
    <row r="139" spans="2:5" x14ac:dyDescent="0.2">
      <c r="B139" s="247">
        <f t="shared" si="2"/>
        <v>135</v>
      </c>
      <c r="C139" s="118" t="s">
        <v>3425</v>
      </c>
      <c r="D139" s="118" t="s">
        <v>3684</v>
      </c>
      <c r="E139" s="247">
        <v>485286019</v>
      </c>
    </row>
    <row r="140" spans="2:5" x14ac:dyDescent="0.2">
      <c r="B140" s="247">
        <f t="shared" si="2"/>
        <v>136</v>
      </c>
      <c r="C140" s="118" t="s">
        <v>162</v>
      </c>
      <c r="D140" s="118" t="s">
        <v>3684</v>
      </c>
      <c r="E140" s="247">
        <v>461890812</v>
      </c>
    </row>
    <row r="141" spans="2:5" x14ac:dyDescent="0.2">
      <c r="B141" s="247">
        <f t="shared" si="2"/>
        <v>137</v>
      </c>
      <c r="C141" s="118" t="s">
        <v>3426</v>
      </c>
      <c r="D141" s="118" t="s">
        <v>3684</v>
      </c>
      <c r="E141" s="247">
        <v>460684450</v>
      </c>
    </row>
    <row r="142" spans="2:5" x14ac:dyDescent="0.2">
      <c r="B142" s="247">
        <f t="shared" si="2"/>
        <v>138</v>
      </c>
      <c r="C142" s="118" t="s">
        <v>142</v>
      </c>
      <c r="D142" s="118" t="s">
        <v>3684</v>
      </c>
      <c r="E142" s="247">
        <v>459701235</v>
      </c>
    </row>
    <row r="143" spans="2:5" x14ac:dyDescent="0.2">
      <c r="B143" s="247">
        <f t="shared" si="2"/>
        <v>139</v>
      </c>
      <c r="C143" s="118" t="s">
        <v>167</v>
      </c>
      <c r="D143" s="118" t="s">
        <v>3687</v>
      </c>
      <c r="E143" s="247">
        <v>449469068</v>
      </c>
    </row>
    <row r="144" spans="2:5" x14ac:dyDescent="0.2">
      <c r="B144" s="247">
        <f t="shared" si="2"/>
        <v>140</v>
      </c>
      <c r="C144" s="118" t="s">
        <v>168</v>
      </c>
      <c r="D144" s="118" t="s">
        <v>3684</v>
      </c>
      <c r="E144" s="247">
        <v>447108945</v>
      </c>
    </row>
    <row r="145" spans="2:5" x14ac:dyDescent="0.2">
      <c r="B145" s="247">
        <f t="shared" si="2"/>
        <v>141</v>
      </c>
      <c r="C145" s="118" t="s">
        <v>169</v>
      </c>
      <c r="D145" s="118" t="s">
        <v>3684</v>
      </c>
      <c r="E145" s="247">
        <v>438339500</v>
      </c>
    </row>
    <row r="146" spans="2:5" x14ac:dyDescent="0.2">
      <c r="B146" s="247">
        <f t="shared" si="2"/>
        <v>142</v>
      </c>
      <c r="C146" s="118" t="s">
        <v>184</v>
      </c>
      <c r="D146" s="118" t="s">
        <v>3684</v>
      </c>
      <c r="E146" s="247">
        <v>432435202</v>
      </c>
    </row>
    <row r="147" spans="2:5" x14ac:dyDescent="0.2">
      <c r="B147" s="247">
        <f t="shared" si="2"/>
        <v>143</v>
      </c>
      <c r="C147" s="118" t="s">
        <v>3427</v>
      </c>
      <c r="D147" s="118" t="s">
        <v>3684</v>
      </c>
      <c r="E147" s="247">
        <v>431159805</v>
      </c>
    </row>
    <row r="148" spans="2:5" x14ac:dyDescent="0.2">
      <c r="B148" s="247">
        <f t="shared" si="2"/>
        <v>144</v>
      </c>
      <c r="C148" s="118" t="s">
        <v>629</v>
      </c>
      <c r="D148" s="118" t="s">
        <v>3414</v>
      </c>
      <c r="E148" s="247">
        <v>427800595</v>
      </c>
    </row>
    <row r="149" spans="2:5" x14ac:dyDescent="0.2">
      <c r="B149" s="247">
        <f t="shared" si="2"/>
        <v>145</v>
      </c>
      <c r="C149" s="118" t="s">
        <v>651</v>
      </c>
      <c r="D149" s="118" t="s">
        <v>3684</v>
      </c>
      <c r="E149" s="247">
        <v>424917649</v>
      </c>
    </row>
    <row r="150" spans="2:5" x14ac:dyDescent="0.2">
      <c r="B150" s="247">
        <f t="shared" si="2"/>
        <v>146</v>
      </c>
      <c r="C150" s="118" t="s">
        <v>171</v>
      </c>
      <c r="D150" s="118" t="s">
        <v>3684</v>
      </c>
      <c r="E150" s="247">
        <v>407607438</v>
      </c>
    </row>
    <row r="151" spans="2:5" x14ac:dyDescent="0.2">
      <c r="B151" s="247">
        <f t="shared" si="2"/>
        <v>147</v>
      </c>
      <c r="C151" s="118" t="s">
        <v>3428</v>
      </c>
      <c r="D151" s="118" t="s">
        <v>3684</v>
      </c>
      <c r="E151" s="247">
        <v>406141266</v>
      </c>
    </row>
    <row r="152" spans="2:5" x14ac:dyDescent="0.2">
      <c r="B152" s="247">
        <f t="shared" si="2"/>
        <v>148</v>
      </c>
      <c r="C152" s="118" t="s">
        <v>165</v>
      </c>
      <c r="D152" s="118" t="s">
        <v>3684</v>
      </c>
      <c r="E152" s="247">
        <v>401602181</v>
      </c>
    </row>
    <row r="153" spans="2:5" x14ac:dyDescent="0.2">
      <c r="B153" s="247">
        <f t="shared" si="2"/>
        <v>149</v>
      </c>
      <c r="C153" s="118" t="s">
        <v>166</v>
      </c>
      <c r="D153" s="118" t="s">
        <v>3684</v>
      </c>
      <c r="E153" s="247">
        <v>385708376</v>
      </c>
    </row>
    <row r="154" spans="2:5" x14ac:dyDescent="0.2">
      <c r="B154" s="247">
        <f t="shared" si="2"/>
        <v>150</v>
      </c>
      <c r="C154" s="118" t="s">
        <v>3429</v>
      </c>
      <c r="D154" s="118" t="s">
        <v>3684</v>
      </c>
      <c r="E154" s="247">
        <v>366408026</v>
      </c>
    </row>
    <row r="155" spans="2:5" x14ac:dyDescent="0.2">
      <c r="B155" s="247">
        <f t="shared" si="2"/>
        <v>151</v>
      </c>
      <c r="C155" s="118" t="s">
        <v>176</v>
      </c>
      <c r="D155" s="118" t="s">
        <v>3687</v>
      </c>
      <c r="E155" s="247">
        <v>363226183</v>
      </c>
    </row>
    <row r="156" spans="2:5" x14ac:dyDescent="0.2">
      <c r="B156" s="247">
        <f t="shared" si="2"/>
        <v>152</v>
      </c>
      <c r="C156" s="118" t="s">
        <v>652</v>
      </c>
      <c r="D156" s="118" t="s">
        <v>3684</v>
      </c>
      <c r="E156" s="247">
        <v>362199705</v>
      </c>
    </row>
    <row r="157" spans="2:5" x14ac:dyDescent="0.2">
      <c r="B157" s="247">
        <f t="shared" si="2"/>
        <v>153</v>
      </c>
      <c r="C157" s="118" t="s">
        <v>3430</v>
      </c>
      <c r="D157" s="118" t="s">
        <v>3684</v>
      </c>
      <c r="E157" s="247">
        <v>357047553</v>
      </c>
    </row>
    <row r="158" spans="2:5" x14ac:dyDescent="0.2">
      <c r="B158" s="247">
        <f t="shared" si="2"/>
        <v>154</v>
      </c>
      <c r="C158" s="118" t="s">
        <v>177</v>
      </c>
      <c r="D158" s="118" t="s">
        <v>3684</v>
      </c>
      <c r="E158" s="247">
        <v>355818628</v>
      </c>
    </row>
    <row r="159" spans="2:5" x14ac:dyDescent="0.2">
      <c r="B159" s="247">
        <f t="shared" si="2"/>
        <v>155</v>
      </c>
      <c r="C159" s="118" t="s">
        <v>3431</v>
      </c>
      <c r="D159" s="118" t="s">
        <v>3684</v>
      </c>
      <c r="E159" s="247">
        <v>339499404</v>
      </c>
    </row>
    <row r="160" spans="2:5" x14ac:dyDescent="0.2">
      <c r="B160" s="247">
        <f t="shared" si="2"/>
        <v>156</v>
      </c>
      <c r="C160" s="118" t="s">
        <v>630</v>
      </c>
      <c r="D160" s="118" t="s">
        <v>3414</v>
      </c>
      <c r="E160" s="247">
        <v>335039252</v>
      </c>
    </row>
    <row r="161" spans="2:5" x14ac:dyDescent="0.2">
      <c r="B161" s="247">
        <f t="shared" si="2"/>
        <v>157</v>
      </c>
      <c r="C161" s="118" t="s">
        <v>3432</v>
      </c>
      <c r="D161" s="118" t="s">
        <v>3684</v>
      </c>
      <c r="E161" s="247">
        <v>332968496</v>
      </c>
    </row>
    <row r="162" spans="2:5" x14ac:dyDescent="0.2">
      <c r="B162" s="247">
        <f t="shared" si="2"/>
        <v>158</v>
      </c>
      <c r="C162" s="118" t="s">
        <v>182</v>
      </c>
      <c r="D162" s="118" t="s">
        <v>3684</v>
      </c>
      <c r="E162" s="247">
        <v>332094100</v>
      </c>
    </row>
    <row r="163" spans="2:5" x14ac:dyDescent="0.2">
      <c r="B163" s="247">
        <f t="shared" si="2"/>
        <v>159</v>
      </c>
      <c r="C163" s="118" t="s">
        <v>183</v>
      </c>
      <c r="D163" s="118" t="s">
        <v>3684</v>
      </c>
      <c r="E163" s="247">
        <v>331736901</v>
      </c>
    </row>
    <row r="164" spans="2:5" x14ac:dyDescent="0.2">
      <c r="B164" s="247">
        <f t="shared" si="2"/>
        <v>160</v>
      </c>
      <c r="C164" s="118" t="s">
        <v>178</v>
      </c>
      <c r="D164" s="118" t="s">
        <v>3684</v>
      </c>
      <c r="E164" s="247">
        <v>328021595</v>
      </c>
    </row>
    <row r="165" spans="2:5" x14ac:dyDescent="0.2">
      <c r="B165" s="247">
        <f t="shared" si="2"/>
        <v>161</v>
      </c>
      <c r="C165" s="118" t="s">
        <v>653</v>
      </c>
      <c r="D165" s="118" t="s">
        <v>3689</v>
      </c>
      <c r="E165" s="247">
        <v>324352738</v>
      </c>
    </row>
    <row r="166" spans="2:5" x14ac:dyDescent="0.2">
      <c r="B166" s="247">
        <f t="shared" si="2"/>
        <v>162</v>
      </c>
      <c r="C166" s="118" t="s">
        <v>186</v>
      </c>
      <c r="D166" s="118" t="s">
        <v>3684</v>
      </c>
      <c r="E166" s="247">
        <v>311839032</v>
      </c>
    </row>
    <row r="167" spans="2:5" x14ac:dyDescent="0.2">
      <c r="B167" s="247">
        <f t="shared" si="2"/>
        <v>163</v>
      </c>
      <c r="C167" s="118" t="s">
        <v>654</v>
      </c>
      <c r="D167" s="118" t="s">
        <v>3684</v>
      </c>
      <c r="E167" s="247">
        <v>303183400</v>
      </c>
    </row>
    <row r="168" spans="2:5" x14ac:dyDescent="0.2">
      <c r="B168" s="247">
        <f t="shared" si="2"/>
        <v>164</v>
      </c>
      <c r="C168" s="118" t="s">
        <v>655</v>
      </c>
      <c r="D168" s="118" t="s">
        <v>3689</v>
      </c>
      <c r="E168" s="247">
        <v>300846446</v>
      </c>
    </row>
    <row r="169" spans="2:5" x14ac:dyDescent="0.2">
      <c r="B169" s="247">
        <f t="shared" si="2"/>
        <v>165</v>
      </c>
      <c r="C169" s="118" t="s">
        <v>187</v>
      </c>
      <c r="D169" s="118" t="s">
        <v>3414</v>
      </c>
      <c r="E169" s="247">
        <v>300148540</v>
      </c>
    </row>
    <row r="170" spans="2:5" x14ac:dyDescent="0.2">
      <c r="B170" s="247">
        <f t="shared" si="2"/>
        <v>166</v>
      </c>
      <c r="C170" s="118" t="s">
        <v>200</v>
      </c>
      <c r="D170" s="118" t="s">
        <v>3684</v>
      </c>
      <c r="E170" s="247">
        <v>298658803</v>
      </c>
    </row>
    <row r="171" spans="2:5" x14ac:dyDescent="0.2">
      <c r="B171" s="247">
        <f t="shared" si="2"/>
        <v>167</v>
      </c>
      <c r="C171" s="118" t="s">
        <v>3433</v>
      </c>
      <c r="D171" s="118" t="s">
        <v>3684</v>
      </c>
      <c r="E171" s="247">
        <v>298202964</v>
      </c>
    </row>
    <row r="172" spans="2:5" x14ac:dyDescent="0.2">
      <c r="B172" s="247">
        <f t="shared" si="2"/>
        <v>168</v>
      </c>
      <c r="C172" s="118" t="s">
        <v>3434</v>
      </c>
      <c r="D172" s="118" t="s">
        <v>3684</v>
      </c>
      <c r="E172" s="247">
        <v>296788297</v>
      </c>
    </row>
    <row r="173" spans="2:5" x14ac:dyDescent="0.2">
      <c r="B173" s="247">
        <f t="shared" si="2"/>
        <v>169</v>
      </c>
      <c r="C173" s="118" t="s">
        <v>194</v>
      </c>
      <c r="D173" s="118" t="s">
        <v>3684</v>
      </c>
      <c r="E173" s="247">
        <v>294166818</v>
      </c>
    </row>
    <row r="174" spans="2:5" x14ac:dyDescent="0.2">
      <c r="B174" s="247">
        <f t="shared" si="2"/>
        <v>170</v>
      </c>
      <c r="C174" s="118" t="s">
        <v>201</v>
      </c>
      <c r="D174" s="118" t="s">
        <v>3684</v>
      </c>
      <c r="E174" s="247">
        <v>291730877</v>
      </c>
    </row>
    <row r="175" spans="2:5" x14ac:dyDescent="0.2">
      <c r="B175" s="247">
        <f t="shared" si="2"/>
        <v>171</v>
      </c>
      <c r="C175" s="118" t="s">
        <v>174</v>
      </c>
      <c r="D175" s="118" t="s">
        <v>3684</v>
      </c>
      <c r="E175" s="247">
        <v>286867804</v>
      </c>
    </row>
    <row r="176" spans="2:5" x14ac:dyDescent="0.2">
      <c r="B176" s="247">
        <f t="shared" si="2"/>
        <v>172</v>
      </c>
      <c r="C176" s="118" t="s">
        <v>188</v>
      </c>
      <c r="D176" s="118" t="s">
        <v>3684</v>
      </c>
      <c r="E176" s="247">
        <v>277544046</v>
      </c>
    </row>
    <row r="177" spans="2:5" x14ac:dyDescent="0.2">
      <c r="B177" s="247">
        <f t="shared" si="2"/>
        <v>173</v>
      </c>
      <c r="C177" s="118" t="s">
        <v>203</v>
      </c>
      <c r="D177" s="118" t="s">
        <v>3684</v>
      </c>
      <c r="E177" s="247">
        <v>275472877</v>
      </c>
    </row>
    <row r="178" spans="2:5" x14ac:dyDescent="0.2">
      <c r="B178" s="247">
        <f t="shared" si="2"/>
        <v>174</v>
      </c>
      <c r="C178" s="118" t="s">
        <v>191</v>
      </c>
      <c r="D178" s="118" t="s">
        <v>3684</v>
      </c>
      <c r="E178" s="247">
        <v>271385788</v>
      </c>
    </row>
    <row r="179" spans="2:5" x14ac:dyDescent="0.2">
      <c r="B179" s="247">
        <f t="shared" si="2"/>
        <v>175</v>
      </c>
      <c r="C179" s="118" t="s">
        <v>205</v>
      </c>
      <c r="D179" s="118" t="s">
        <v>3684</v>
      </c>
      <c r="E179" s="247">
        <v>268654869</v>
      </c>
    </row>
    <row r="180" spans="2:5" x14ac:dyDescent="0.2">
      <c r="B180" s="247">
        <f t="shared" si="2"/>
        <v>176</v>
      </c>
      <c r="C180" s="118" t="s">
        <v>189</v>
      </c>
      <c r="D180" s="118" t="s">
        <v>3684</v>
      </c>
      <c r="E180" s="247">
        <v>268474580</v>
      </c>
    </row>
    <row r="181" spans="2:5" x14ac:dyDescent="0.2">
      <c r="B181" s="247">
        <f t="shared" si="2"/>
        <v>177</v>
      </c>
      <c r="C181" s="118" t="s">
        <v>190</v>
      </c>
      <c r="D181" s="118" t="s">
        <v>3684</v>
      </c>
      <c r="E181" s="247">
        <v>263300885</v>
      </c>
    </row>
    <row r="182" spans="2:5" x14ac:dyDescent="0.2">
      <c r="B182" s="247">
        <f t="shared" si="2"/>
        <v>178</v>
      </c>
      <c r="C182" s="118" t="s">
        <v>193</v>
      </c>
      <c r="D182" s="118" t="s">
        <v>3687</v>
      </c>
      <c r="E182" s="247">
        <v>257694172</v>
      </c>
    </row>
    <row r="183" spans="2:5" x14ac:dyDescent="0.2">
      <c r="B183" s="247">
        <f t="shared" si="2"/>
        <v>179</v>
      </c>
      <c r="C183" s="118" t="s">
        <v>3435</v>
      </c>
      <c r="D183" s="118" t="s">
        <v>3684</v>
      </c>
      <c r="E183" s="247">
        <v>254774516</v>
      </c>
    </row>
    <row r="184" spans="2:5" x14ac:dyDescent="0.2">
      <c r="B184" s="247">
        <f t="shared" si="2"/>
        <v>180</v>
      </c>
      <c r="C184" s="118" t="s">
        <v>207</v>
      </c>
      <c r="D184" s="118" t="s">
        <v>3684</v>
      </c>
      <c r="E184" s="247">
        <v>251270034</v>
      </c>
    </row>
    <row r="185" spans="2:5" x14ac:dyDescent="0.2">
      <c r="B185" s="247">
        <f t="shared" si="2"/>
        <v>181</v>
      </c>
      <c r="C185" s="118" t="s">
        <v>192</v>
      </c>
      <c r="D185" s="118" t="s">
        <v>3684</v>
      </c>
      <c r="E185" s="247">
        <v>249097183</v>
      </c>
    </row>
    <row r="186" spans="2:5" x14ac:dyDescent="0.2">
      <c r="B186" s="247">
        <f t="shared" si="2"/>
        <v>182</v>
      </c>
      <c r="C186" s="118" t="s">
        <v>181</v>
      </c>
      <c r="D186" s="118" t="s">
        <v>3684</v>
      </c>
      <c r="E186" s="247">
        <v>243407126</v>
      </c>
    </row>
    <row r="187" spans="2:5" x14ac:dyDescent="0.2">
      <c r="B187" s="247">
        <f t="shared" si="2"/>
        <v>183</v>
      </c>
      <c r="C187" s="118" t="s">
        <v>210</v>
      </c>
      <c r="D187" s="118" t="s">
        <v>3684</v>
      </c>
      <c r="E187" s="247">
        <v>233788320</v>
      </c>
    </row>
    <row r="188" spans="2:5" x14ac:dyDescent="0.2">
      <c r="B188" s="247">
        <f t="shared" si="2"/>
        <v>184</v>
      </c>
      <c r="C188" s="118" t="s">
        <v>197</v>
      </c>
      <c r="D188" s="118" t="s">
        <v>3684</v>
      </c>
      <c r="E188" s="247">
        <v>226292803</v>
      </c>
    </row>
    <row r="189" spans="2:5" x14ac:dyDescent="0.2">
      <c r="B189" s="247">
        <f t="shared" si="2"/>
        <v>185</v>
      </c>
      <c r="C189" s="118" t="s">
        <v>198</v>
      </c>
      <c r="D189" s="118" t="s">
        <v>3684</v>
      </c>
      <c r="E189" s="247">
        <v>222429127</v>
      </c>
    </row>
    <row r="190" spans="2:5" x14ac:dyDescent="0.2">
      <c r="B190" s="247">
        <f t="shared" si="2"/>
        <v>186</v>
      </c>
      <c r="C190" s="118" t="s">
        <v>215</v>
      </c>
      <c r="D190" s="118" t="s">
        <v>3684</v>
      </c>
      <c r="E190" s="247">
        <v>221197884</v>
      </c>
    </row>
    <row r="191" spans="2:5" x14ac:dyDescent="0.2">
      <c r="B191" s="247">
        <f t="shared" si="2"/>
        <v>187</v>
      </c>
      <c r="C191" s="118" t="s">
        <v>199</v>
      </c>
      <c r="D191" s="118" t="s">
        <v>3684</v>
      </c>
      <c r="E191" s="247">
        <v>218531211</v>
      </c>
    </row>
    <row r="192" spans="2:5" x14ac:dyDescent="0.2">
      <c r="B192" s="247">
        <f t="shared" si="2"/>
        <v>188</v>
      </c>
      <c r="C192" s="118" t="s">
        <v>202</v>
      </c>
      <c r="D192" s="118" t="s">
        <v>3684</v>
      </c>
      <c r="E192" s="247">
        <v>216080799</v>
      </c>
    </row>
    <row r="193" spans="2:5" x14ac:dyDescent="0.2">
      <c r="B193" s="247">
        <f t="shared" si="2"/>
        <v>189</v>
      </c>
      <c r="C193" s="118" t="s">
        <v>631</v>
      </c>
      <c r="D193" s="118" t="s">
        <v>3414</v>
      </c>
      <c r="E193" s="247">
        <v>203080467</v>
      </c>
    </row>
    <row r="194" spans="2:5" x14ac:dyDescent="0.2">
      <c r="B194" s="247">
        <f t="shared" si="2"/>
        <v>190</v>
      </c>
      <c r="C194" s="118" t="s">
        <v>237</v>
      </c>
      <c r="D194" s="118" t="s">
        <v>3684</v>
      </c>
      <c r="E194" s="247">
        <v>200652691</v>
      </c>
    </row>
    <row r="195" spans="2:5" x14ac:dyDescent="0.2">
      <c r="B195" s="247">
        <f t="shared" si="2"/>
        <v>191</v>
      </c>
      <c r="C195" s="118" t="s">
        <v>175</v>
      </c>
      <c r="D195" s="118" t="s">
        <v>3684</v>
      </c>
      <c r="E195" s="247">
        <v>200495343</v>
      </c>
    </row>
    <row r="196" spans="2:5" x14ac:dyDescent="0.2">
      <c r="B196" s="247">
        <f t="shared" si="2"/>
        <v>192</v>
      </c>
      <c r="C196" s="118" t="s">
        <v>206</v>
      </c>
      <c r="D196" s="118" t="s">
        <v>3684</v>
      </c>
      <c r="E196" s="247">
        <v>194758940</v>
      </c>
    </row>
    <row r="197" spans="2:5" x14ac:dyDescent="0.2">
      <c r="B197" s="247">
        <f t="shared" si="2"/>
        <v>193</v>
      </c>
      <c r="C197" s="118" t="s">
        <v>170</v>
      </c>
      <c r="D197" s="118" t="s">
        <v>3684</v>
      </c>
      <c r="E197" s="247">
        <v>193290940</v>
      </c>
    </row>
    <row r="198" spans="2:5" x14ac:dyDescent="0.2">
      <c r="B198" s="247">
        <f t="shared" ref="B198:B261" si="3">B197+1</f>
        <v>194</v>
      </c>
      <c r="C198" s="118" t="s">
        <v>222</v>
      </c>
      <c r="D198" s="118" t="s">
        <v>3684</v>
      </c>
      <c r="E198" s="247">
        <v>192282481</v>
      </c>
    </row>
    <row r="199" spans="2:5" x14ac:dyDescent="0.2">
      <c r="B199" s="247">
        <f t="shared" si="3"/>
        <v>195</v>
      </c>
      <c r="C199" s="118" t="s">
        <v>208</v>
      </c>
      <c r="D199" s="118" t="s">
        <v>3684</v>
      </c>
      <c r="E199" s="247">
        <v>189395908</v>
      </c>
    </row>
    <row r="200" spans="2:5" x14ac:dyDescent="0.2">
      <c r="B200" s="247">
        <f t="shared" si="3"/>
        <v>196</v>
      </c>
      <c r="C200" s="118" t="s">
        <v>241</v>
      </c>
      <c r="D200" s="118" t="s">
        <v>3684</v>
      </c>
      <c r="E200" s="247">
        <v>187214431</v>
      </c>
    </row>
    <row r="201" spans="2:5" x14ac:dyDescent="0.2">
      <c r="B201" s="247">
        <f t="shared" si="3"/>
        <v>197</v>
      </c>
      <c r="C201" s="118" t="s">
        <v>209</v>
      </c>
      <c r="D201" s="118" t="s">
        <v>3684</v>
      </c>
      <c r="E201" s="247">
        <v>186797933</v>
      </c>
    </row>
    <row r="202" spans="2:5" x14ac:dyDescent="0.2">
      <c r="B202" s="247">
        <f t="shared" si="3"/>
        <v>198</v>
      </c>
      <c r="C202" s="118" t="s">
        <v>3436</v>
      </c>
      <c r="D202" s="118" t="s">
        <v>3684</v>
      </c>
      <c r="E202" s="247">
        <v>185474761</v>
      </c>
    </row>
    <row r="203" spans="2:5" x14ac:dyDescent="0.2">
      <c r="B203" s="247">
        <f t="shared" si="3"/>
        <v>199</v>
      </c>
      <c r="C203" s="118" t="s">
        <v>227</v>
      </c>
      <c r="D203" s="118" t="s">
        <v>3684</v>
      </c>
      <c r="E203" s="247">
        <v>184491901</v>
      </c>
    </row>
    <row r="204" spans="2:5" x14ac:dyDescent="0.2">
      <c r="B204" s="247">
        <f t="shared" si="3"/>
        <v>200</v>
      </c>
      <c r="C204" s="118" t="s">
        <v>229</v>
      </c>
      <c r="D204" s="118" t="s">
        <v>3684</v>
      </c>
      <c r="E204" s="247">
        <v>180756341</v>
      </c>
    </row>
    <row r="205" spans="2:5" x14ac:dyDescent="0.2">
      <c r="B205" s="247">
        <f t="shared" si="3"/>
        <v>201</v>
      </c>
      <c r="C205" s="118" t="s">
        <v>212</v>
      </c>
      <c r="D205" s="118" t="s">
        <v>3684</v>
      </c>
      <c r="E205" s="247">
        <v>178006758</v>
      </c>
    </row>
    <row r="206" spans="2:5" x14ac:dyDescent="0.2">
      <c r="B206" s="247">
        <f t="shared" si="3"/>
        <v>202</v>
      </c>
      <c r="C206" s="118" t="s">
        <v>3437</v>
      </c>
      <c r="D206" s="118" t="s">
        <v>3684</v>
      </c>
      <c r="E206" s="247">
        <v>177091327</v>
      </c>
    </row>
    <row r="207" spans="2:5" x14ac:dyDescent="0.2">
      <c r="B207" s="247">
        <f t="shared" si="3"/>
        <v>203</v>
      </c>
      <c r="C207" s="118" t="s">
        <v>656</v>
      </c>
      <c r="D207" s="118" t="s">
        <v>3689</v>
      </c>
      <c r="E207" s="247">
        <v>177050963</v>
      </c>
    </row>
    <row r="208" spans="2:5" x14ac:dyDescent="0.2">
      <c r="B208" s="247">
        <f t="shared" si="3"/>
        <v>204</v>
      </c>
      <c r="C208" s="118" t="s">
        <v>213</v>
      </c>
      <c r="D208" s="118" t="s">
        <v>3684</v>
      </c>
      <c r="E208" s="247">
        <v>175108490</v>
      </c>
    </row>
    <row r="209" spans="2:5" x14ac:dyDescent="0.2">
      <c r="B209" s="247">
        <f t="shared" si="3"/>
        <v>205</v>
      </c>
      <c r="C209" s="118" t="s">
        <v>231</v>
      </c>
      <c r="D209" s="118" t="s">
        <v>3684</v>
      </c>
      <c r="E209" s="247">
        <v>174867162</v>
      </c>
    </row>
    <row r="210" spans="2:5" x14ac:dyDescent="0.2">
      <c r="B210" s="247">
        <f t="shared" si="3"/>
        <v>206</v>
      </c>
      <c r="C210" s="118" t="s">
        <v>3438</v>
      </c>
      <c r="D210" s="118" t="s">
        <v>3684</v>
      </c>
      <c r="E210" s="247">
        <v>172630988</v>
      </c>
    </row>
    <row r="211" spans="2:5" x14ac:dyDescent="0.2">
      <c r="B211" s="247">
        <f t="shared" si="3"/>
        <v>207</v>
      </c>
      <c r="C211" s="118" t="s">
        <v>632</v>
      </c>
      <c r="D211" s="118" t="s">
        <v>3414</v>
      </c>
      <c r="E211" s="247">
        <v>170933638</v>
      </c>
    </row>
    <row r="212" spans="2:5" x14ac:dyDescent="0.2">
      <c r="B212" s="247">
        <f t="shared" si="3"/>
        <v>208</v>
      </c>
      <c r="C212" s="118" t="s">
        <v>214</v>
      </c>
      <c r="D212" s="118" t="s">
        <v>3684</v>
      </c>
      <c r="E212" s="247">
        <v>170872963</v>
      </c>
    </row>
    <row r="213" spans="2:5" x14ac:dyDescent="0.2">
      <c r="B213" s="247">
        <f t="shared" si="3"/>
        <v>209</v>
      </c>
      <c r="C213" s="118" t="s">
        <v>240</v>
      </c>
      <c r="D213" s="118" t="s">
        <v>3684</v>
      </c>
      <c r="E213" s="247">
        <v>167394919</v>
      </c>
    </row>
    <row r="214" spans="2:5" x14ac:dyDescent="0.2">
      <c r="B214" s="247">
        <f t="shared" si="3"/>
        <v>210</v>
      </c>
      <c r="C214" s="118" t="s">
        <v>204</v>
      </c>
      <c r="D214" s="118" t="s">
        <v>3684</v>
      </c>
      <c r="E214" s="247">
        <v>166027734</v>
      </c>
    </row>
    <row r="215" spans="2:5" x14ac:dyDescent="0.2">
      <c r="B215" s="247">
        <f t="shared" si="3"/>
        <v>211</v>
      </c>
      <c r="C215" s="118" t="s">
        <v>228</v>
      </c>
      <c r="D215" s="118" t="s">
        <v>3687</v>
      </c>
      <c r="E215" s="247">
        <v>163982122</v>
      </c>
    </row>
    <row r="216" spans="2:5" x14ac:dyDescent="0.2">
      <c r="B216" s="247">
        <f t="shared" si="3"/>
        <v>212</v>
      </c>
      <c r="C216" s="118" t="s">
        <v>196</v>
      </c>
      <c r="D216" s="118" t="s">
        <v>3687</v>
      </c>
      <c r="E216" s="247">
        <v>160745956</v>
      </c>
    </row>
    <row r="217" spans="2:5" x14ac:dyDescent="0.2">
      <c r="B217" s="247">
        <f t="shared" si="3"/>
        <v>213</v>
      </c>
      <c r="C217" s="118" t="s">
        <v>235</v>
      </c>
      <c r="D217" s="118" t="s">
        <v>3684</v>
      </c>
      <c r="E217" s="247">
        <v>158959469</v>
      </c>
    </row>
    <row r="218" spans="2:5" x14ac:dyDescent="0.2">
      <c r="B218" s="247">
        <f t="shared" si="3"/>
        <v>214</v>
      </c>
      <c r="C218" s="118" t="s">
        <v>217</v>
      </c>
      <c r="D218" s="118" t="s">
        <v>3684</v>
      </c>
      <c r="E218" s="247">
        <v>157747195</v>
      </c>
    </row>
    <row r="219" spans="2:5" x14ac:dyDescent="0.2">
      <c r="B219" s="247">
        <f t="shared" si="3"/>
        <v>215</v>
      </c>
      <c r="C219" s="118" t="s">
        <v>657</v>
      </c>
      <c r="D219" s="118" t="s">
        <v>3689</v>
      </c>
      <c r="E219" s="247">
        <v>154360620</v>
      </c>
    </row>
    <row r="220" spans="2:5" x14ac:dyDescent="0.2">
      <c r="B220" s="247">
        <f t="shared" si="3"/>
        <v>216</v>
      </c>
      <c r="C220" s="118" t="s">
        <v>220</v>
      </c>
      <c r="D220" s="118" t="s">
        <v>3687</v>
      </c>
      <c r="E220" s="247">
        <v>152700000</v>
      </c>
    </row>
    <row r="221" spans="2:5" x14ac:dyDescent="0.2">
      <c r="B221" s="247">
        <f t="shared" si="3"/>
        <v>217</v>
      </c>
      <c r="C221" s="118" t="s">
        <v>221</v>
      </c>
      <c r="D221" s="118" t="s">
        <v>3684</v>
      </c>
      <c r="E221" s="247">
        <v>150659973</v>
      </c>
    </row>
    <row r="222" spans="2:5" x14ac:dyDescent="0.2">
      <c r="B222" s="247">
        <f t="shared" si="3"/>
        <v>218</v>
      </c>
      <c r="C222" s="118" t="s">
        <v>243</v>
      </c>
      <c r="D222" s="118" t="s">
        <v>3684</v>
      </c>
      <c r="E222" s="247">
        <v>148622592</v>
      </c>
    </row>
    <row r="223" spans="2:5" x14ac:dyDescent="0.2">
      <c r="B223" s="247">
        <f t="shared" si="3"/>
        <v>219</v>
      </c>
      <c r="C223" s="118" t="s">
        <v>3439</v>
      </c>
      <c r="D223" s="118" t="s">
        <v>3684</v>
      </c>
      <c r="E223" s="247">
        <v>146984215</v>
      </c>
    </row>
    <row r="224" spans="2:5" x14ac:dyDescent="0.2">
      <c r="B224" s="247">
        <f t="shared" si="3"/>
        <v>220</v>
      </c>
      <c r="C224" s="118" t="s">
        <v>224</v>
      </c>
      <c r="D224" s="118" t="s">
        <v>3684</v>
      </c>
      <c r="E224" s="247">
        <v>146026966</v>
      </c>
    </row>
    <row r="225" spans="2:5" x14ac:dyDescent="0.2">
      <c r="B225" s="247">
        <f t="shared" si="3"/>
        <v>221</v>
      </c>
      <c r="C225" s="118" t="s">
        <v>226</v>
      </c>
      <c r="D225" s="118" t="s">
        <v>3684</v>
      </c>
      <c r="E225" s="247">
        <v>144226576</v>
      </c>
    </row>
    <row r="226" spans="2:5" x14ac:dyDescent="0.2">
      <c r="B226" s="247">
        <f t="shared" si="3"/>
        <v>222</v>
      </c>
      <c r="C226" s="118" t="s">
        <v>246</v>
      </c>
      <c r="D226" s="118" t="s">
        <v>3684</v>
      </c>
      <c r="E226" s="247">
        <v>143806140</v>
      </c>
    </row>
    <row r="227" spans="2:5" x14ac:dyDescent="0.2">
      <c r="B227" s="247">
        <f t="shared" si="3"/>
        <v>223</v>
      </c>
      <c r="C227" s="118" t="s">
        <v>3440</v>
      </c>
      <c r="D227" s="118" t="s">
        <v>3684</v>
      </c>
      <c r="E227" s="247">
        <v>143386553</v>
      </c>
    </row>
    <row r="228" spans="2:5" x14ac:dyDescent="0.2">
      <c r="B228" s="247">
        <f t="shared" si="3"/>
        <v>224</v>
      </c>
      <c r="C228" s="118" t="s">
        <v>3441</v>
      </c>
      <c r="D228" s="118" t="s">
        <v>3684</v>
      </c>
      <c r="E228" s="247">
        <v>142593980</v>
      </c>
    </row>
    <row r="229" spans="2:5" x14ac:dyDescent="0.2">
      <c r="B229" s="247">
        <f t="shared" si="3"/>
        <v>225</v>
      </c>
      <c r="C229" s="118" t="s">
        <v>3442</v>
      </c>
      <c r="D229" s="118" t="s">
        <v>3684</v>
      </c>
      <c r="E229" s="247">
        <v>141590604</v>
      </c>
    </row>
    <row r="230" spans="2:5" x14ac:dyDescent="0.2">
      <c r="B230" s="247">
        <f t="shared" si="3"/>
        <v>226</v>
      </c>
      <c r="C230" s="118" t="s">
        <v>216</v>
      </c>
      <c r="D230" s="118" t="s">
        <v>3684</v>
      </c>
      <c r="E230" s="247">
        <v>140215732</v>
      </c>
    </row>
    <row r="231" spans="2:5" x14ac:dyDescent="0.2">
      <c r="B231" s="247">
        <f t="shared" si="3"/>
        <v>227</v>
      </c>
      <c r="C231" s="118" t="s">
        <v>230</v>
      </c>
      <c r="D231" s="118" t="s">
        <v>3684</v>
      </c>
      <c r="E231" s="247">
        <v>137386606</v>
      </c>
    </row>
    <row r="232" spans="2:5" x14ac:dyDescent="0.2">
      <c r="B232" s="247">
        <f t="shared" si="3"/>
        <v>228</v>
      </c>
      <c r="C232" s="118" t="s">
        <v>219</v>
      </c>
      <c r="D232" s="118" t="s">
        <v>3684</v>
      </c>
      <c r="E232" s="247">
        <v>131412253</v>
      </c>
    </row>
    <row r="233" spans="2:5" x14ac:dyDescent="0.2">
      <c r="B233" s="247">
        <f t="shared" si="3"/>
        <v>229</v>
      </c>
      <c r="C233" s="118" t="s">
        <v>256</v>
      </c>
      <c r="D233" s="118" t="s">
        <v>3684</v>
      </c>
      <c r="E233" s="247">
        <v>130024468</v>
      </c>
    </row>
    <row r="234" spans="2:5" x14ac:dyDescent="0.2">
      <c r="B234" s="247">
        <f t="shared" si="3"/>
        <v>230</v>
      </c>
      <c r="C234" s="118" t="s">
        <v>173</v>
      </c>
      <c r="D234" s="118" t="s">
        <v>3684</v>
      </c>
      <c r="E234" s="247">
        <v>129692953</v>
      </c>
    </row>
    <row r="235" spans="2:5" x14ac:dyDescent="0.2">
      <c r="B235" s="247">
        <f t="shared" si="3"/>
        <v>231</v>
      </c>
      <c r="C235" s="118" t="s">
        <v>255</v>
      </c>
      <c r="D235" s="118" t="s">
        <v>3684</v>
      </c>
      <c r="E235" s="247">
        <v>127062175</v>
      </c>
    </row>
    <row r="236" spans="2:5" x14ac:dyDescent="0.2">
      <c r="B236" s="247">
        <f t="shared" si="3"/>
        <v>232</v>
      </c>
      <c r="C236" s="118" t="s">
        <v>233</v>
      </c>
      <c r="D236" s="118" t="s">
        <v>3684</v>
      </c>
      <c r="E236" s="247">
        <v>123056312</v>
      </c>
    </row>
    <row r="237" spans="2:5" x14ac:dyDescent="0.2">
      <c r="B237" s="247">
        <f t="shared" si="3"/>
        <v>233</v>
      </c>
      <c r="C237" s="118" t="s">
        <v>259</v>
      </c>
      <c r="D237" s="118" t="s">
        <v>3684</v>
      </c>
      <c r="E237" s="247">
        <v>121366008</v>
      </c>
    </row>
    <row r="238" spans="2:5" x14ac:dyDescent="0.2">
      <c r="B238" s="247">
        <f t="shared" si="3"/>
        <v>234</v>
      </c>
      <c r="C238" s="118" t="s">
        <v>236</v>
      </c>
      <c r="D238" s="118" t="s">
        <v>3684</v>
      </c>
      <c r="E238" s="247">
        <v>121010000</v>
      </c>
    </row>
    <row r="239" spans="2:5" x14ac:dyDescent="0.2">
      <c r="B239" s="247">
        <f t="shared" si="3"/>
        <v>235</v>
      </c>
      <c r="C239" s="118" t="s">
        <v>238</v>
      </c>
      <c r="D239" s="118" t="s">
        <v>3684</v>
      </c>
      <c r="E239" s="247">
        <v>120321730</v>
      </c>
    </row>
    <row r="240" spans="2:5" x14ac:dyDescent="0.2">
      <c r="B240" s="247">
        <f t="shared" si="3"/>
        <v>236</v>
      </c>
      <c r="C240" s="118" t="s">
        <v>234</v>
      </c>
      <c r="D240" s="118" t="s">
        <v>3687</v>
      </c>
      <c r="E240" s="247">
        <v>118600046</v>
      </c>
    </row>
    <row r="241" spans="2:5" x14ac:dyDescent="0.2">
      <c r="B241" s="247">
        <f t="shared" si="3"/>
        <v>237</v>
      </c>
      <c r="C241" s="118" t="s">
        <v>239</v>
      </c>
      <c r="D241" s="118" t="s">
        <v>3684</v>
      </c>
      <c r="E241" s="247">
        <v>117873752</v>
      </c>
    </row>
    <row r="242" spans="2:5" x14ac:dyDescent="0.2">
      <c r="B242" s="247">
        <f t="shared" si="3"/>
        <v>238</v>
      </c>
      <c r="C242" s="118" t="s">
        <v>242</v>
      </c>
      <c r="D242" s="118" t="s">
        <v>3684</v>
      </c>
      <c r="E242" s="247">
        <v>116308200</v>
      </c>
    </row>
    <row r="243" spans="2:5" x14ac:dyDescent="0.2">
      <c r="B243" s="247">
        <f t="shared" si="3"/>
        <v>239</v>
      </c>
      <c r="C243" s="118" t="s">
        <v>232</v>
      </c>
      <c r="D243" s="118" t="s">
        <v>3684</v>
      </c>
      <c r="E243" s="247">
        <v>110454582</v>
      </c>
    </row>
    <row r="244" spans="2:5" x14ac:dyDescent="0.2">
      <c r="B244" s="247">
        <f t="shared" si="3"/>
        <v>240</v>
      </c>
      <c r="C244" s="118" t="s">
        <v>247</v>
      </c>
      <c r="D244" s="118" t="s">
        <v>3684</v>
      </c>
      <c r="E244" s="247">
        <v>109641961</v>
      </c>
    </row>
    <row r="245" spans="2:5" x14ac:dyDescent="0.2">
      <c r="B245" s="247">
        <f t="shared" si="3"/>
        <v>241</v>
      </c>
      <c r="C245" s="118" t="s">
        <v>275</v>
      </c>
      <c r="D245" s="118" t="s">
        <v>3684</v>
      </c>
      <c r="E245" s="247">
        <v>109099291</v>
      </c>
    </row>
    <row r="246" spans="2:5" x14ac:dyDescent="0.2">
      <c r="B246" s="247">
        <f t="shared" si="3"/>
        <v>242</v>
      </c>
      <c r="C246" s="118" t="s">
        <v>3443</v>
      </c>
      <c r="D246" s="118" t="s">
        <v>3684</v>
      </c>
      <c r="E246" s="247">
        <v>108974200</v>
      </c>
    </row>
    <row r="247" spans="2:5" x14ac:dyDescent="0.2">
      <c r="B247" s="247">
        <f t="shared" si="3"/>
        <v>243</v>
      </c>
      <c r="C247" s="118" t="s">
        <v>245</v>
      </c>
      <c r="D247" s="118" t="s">
        <v>3684</v>
      </c>
      <c r="E247" s="247">
        <v>108295721</v>
      </c>
    </row>
    <row r="248" spans="2:5" x14ac:dyDescent="0.2">
      <c r="B248" s="247">
        <f t="shared" si="3"/>
        <v>244</v>
      </c>
      <c r="C248" s="118" t="s">
        <v>248</v>
      </c>
      <c r="D248" s="118" t="s">
        <v>3687</v>
      </c>
      <c r="E248" s="247">
        <v>107050000</v>
      </c>
    </row>
    <row r="249" spans="2:5" x14ac:dyDescent="0.2">
      <c r="B249" s="247">
        <f t="shared" si="3"/>
        <v>245</v>
      </c>
      <c r="C249" s="118" t="s">
        <v>223</v>
      </c>
      <c r="D249" s="118" t="s">
        <v>3684</v>
      </c>
      <c r="E249" s="247">
        <v>105711273</v>
      </c>
    </row>
    <row r="250" spans="2:5" x14ac:dyDescent="0.2">
      <c r="B250" s="247">
        <f t="shared" si="3"/>
        <v>246</v>
      </c>
      <c r="C250" s="118" t="s">
        <v>249</v>
      </c>
      <c r="D250" s="118" t="s">
        <v>3684</v>
      </c>
      <c r="E250" s="247">
        <v>105248233</v>
      </c>
    </row>
    <row r="251" spans="2:5" x14ac:dyDescent="0.2">
      <c r="B251" s="247">
        <f t="shared" si="3"/>
        <v>247</v>
      </c>
      <c r="C251" s="118" t="s">
        <v>250</v>
      </c>
      <c r="D251" s="118" t="s">
        <v>3684</v>
      </c>
      <c r="E251" s="247">
        <v>104938518</v>
      </c>
    </row>
    <row r="252" spans="2:5" x14ac:dyDescent="0.2">
      <c r="B252" s="247">
        <f t="shared" si="3"/>
        <v>248</v>
      </c>
      <c r="C252" s="118" t="s">
        <v>244</v>
      </c>
      <c r="D252" s="118" t="s">
        <v>3684</v>
      </c>
      <c r="E252" s="247">
        <v>104555195</v>
      </c>
    </row>
    <row r="253" spans="2:5" x14ac:dyDescent="0.2">
      <c r="B253" s="247">
        <f t="shared" si="3"/>
        <v>249</v>
      </c>
      <c r="C253" s="118" t="s">
        <v>251</v>
      </c>
      <c r="D253" s="118" t="s">
        <v>3684</v>
      </c>
      <c r="E253" s="247">
        <v>103188552</v>
      </c>
    </row>
    <row r="254" spans="2:5" x14ac:dyDescent="0.2">
      <c r="B254" s="247">
        <f t="shared" si="3"/>
        <v>250</v>
      </c>
      <c r="C254" s="118" t="s">
        <v>195</v>
      </c>
      <c r="D254" s="118" t="s">
        <v>3684</v>
      </c>
      <c r="E254" s="247">
        <v>102354725</v>
      </c>
    </row>
    <row r="255" spans="2:5" x14ac:dyDescent="0.2">
      <c r="B255" s="247">
        <f t="shared" si="3"/>
        <v>251</v>
      </c>
      <c r="C255" s="118" t="s">
        <v>252</v>
      </c>
      <c r="D255" s="118" t="s">
        <v>3684</v>
      </c>
      <c r="E255" s="247">
        <v>99999993</v>
      </c>
    </row>
    <row r="256" spans="2:5" x14ac:dyDescent="0.2">
      <c r="B256" s="247">
        <f t="shared" si="3"/>
        <v>252</v>
      </c>
      <c r="C256" s="118" t="s">
        <v>633</v>
      </c>
      <c r="D256" s="118" t="s">
        <v>3414</v>
      </c>
      <c r="E256" s="247">
        <v>98090097</v>
      </c>
    </row>
    <row r="257" spans="2:5" x14ac:dyDescent="0.2">
      <c r="B257" s="247">
        <f t="shared" si="3"/>
        <v>253</v>
      </c>
      <c r="C257" s="118" t="s">
        <v>3444</v>
      </c>
      <c r="D257" s="118" t="s">
        <v>3684</v>
      </c>
      <c r="E257" s="247">
        <v>96800120</v>
      </c>
    </row>
    <row r="258" spans="2:5" x14ac:dyDescent="0.2">
      <c r="B258" s="247">
        <f t="shared" si="3"/>
        <v>254</v>
      </c>
      <c r="C258" s="118" t="s">
        <v>274</v>
      </c>
      <c r="D258" s="118" t="s">
        <v>3684</v>
      </c>
      <c r="E258" s="247">
        <v>95287935</v>
      </c>
    </row>
    <row r="259" spans="2:5" x14ac:dyDescent="0.2">
      <c r="B259" s="247">
        <f t="shared" si="3"/>
        <v>255</v>
      </c>
      <c r="C259" s="118" t="s">
        <v>277</v>
      </c>
      <c r="D259" s="118" t="s">
        <v>3684</v>
      </c>
      <c r="E259" s="247">
        <v>93653422</v>
      </c>
    </row>
    <row r="260" spans="2:5" x14ac:dyDescent="0.2">
      <c r="B260" s="247">
        <f t="shared" si="3"/>
        <v>256</v>
      </c>
      <c r="C260" s="118" t="s">
        <v>258</v>
      </c>
      <c r="D260" s="118" t="s">
        <v>3687</v>
      </c>
      <c r="E260" s="247">
        <v>93450376</v>
      </c>
    </row>
    <row r="261" spans="2:5" x14ac:dyDescent="0.2">
      <c r="B261" s="247">
        <f t="shared" si="3"/>
        <v>257</v>
      </c>
      <c r="C261" s="118" t="s">
        <v>278</v>
      </c>
      <c r="D261" s="118" t="s">
        <v>3684</v>
      </c>
      <c r="E261" s="247">
        <v>93020255</v>
      </c>
    </row>
    <row r="262" spans="2:5" x14ac:dyDescent="0.2">
      <c r="B262" s="247">
        <f t="shared" ref="B262:B325" si="4">B261+1</f>
        <v>258</v>
      </c>
      <c r="C262" s="118" t="s">
        <v>260</v>
      </c>
      <c r="D262" s="118" t="s">
        <v>3684</v>
      </c>
      <c r="E262" s="247">
        <v>92269475</v>
      </c>
    </row>
    <row r="263" spans="2:5" x14ac:dyDescent="0.2">
      <c r="B263" s="247">
        <f t="shared" si="4"/>
        <v>259</v>
      </c>
      <c r="C263" s="118" t="s">
        <v>261</v>
      </c>
      <c r="D263" s="118" t="s">
        <v>3684</v>
      </c>
      <c r="E263" s="247">
        <v>92231118</v>
      </c>
    </row>
    <row r="264" spans="2:5" x14ac:dyDescent="0.2">
      <c r="B264" s="247">
        <f t="shared" si="4"/>
        <v>260</v>
      </c>
      <c r="C264" s="118" t="s">
        <v>281</v>
      </c>
      <c r="D264" s="118" t="s">
        <v>3684</v>
      </c>
      <c r="E264" s="247">
        <v>92158969</v>
      </c>
    </row>
    <row r="265" spans="2:5" x14ac:dyDescent="0.2">
      <c r="B265" s="247">
        <f t="shared" si="4"/>
        <v>261</v>
      </c>
      <c r="C265" s="118" t="s">
        <v>3445</v>
      </c>
      <c r="D265" s="118" t="s">
        <v>3684</v>
      </c>
      <c r="E265" s="247">
        <v>91460827</v>
      </c>
    </row>
    <row r="266" spans="2:5" x14ac:dyDescent="0.2">
      <c r="B266" s="247">
        <f t="shared" si="4"/>
        <v>262</v>
      </c>
      <c r="C266" s="118" t="s">
        <v>225</v>
      </c>
      <c r="D266" s="118" t="s">
        <v>3684</v>
      </c>
      <c r="E266" s="247">
        <v>91283044</v>
      </c>
    </row>
    <row r="267" spans="2:5" x14ac:dyDescent="0.2">
      <c r="B267" s="247">
        <f t="shared" si="4"/>
        <v>263</v>
      </c>
      <c r="C267" s="118" t="s">
        <v>257</v>
      </c>
      <c r="D267" s="118" t="s">
        <v>3684</v>
      </c>
      <c r="E267" s="247">
        <v>90500000</v>
      </c>
    </row>
    <row r="268" spans="2:5" x14ac:dyDescent="0.2">
      <c r="B268" s="247">
        <f t="shared" si="4"/>
        <v>264</v>
      </c>
      <c r="C268" s="118" t="s">
        <v>262</v>
      </c>
      <c r="D268" s="118" t="s">
        <v>3684</v>
      </c>
      <c r="E268" s="247">
        <v>89013300</v>
      </c>
    </row>
    <row r="269" spans="2:5" x14ac:dyDescent="0.2">
      <c r="B269" s="247">
        <f t="shared" si="4"/>
        <v>265</v>
      </c>
      <c r="C269" s="118" t="s">
        <v>282</v>
      </c>
      <c r="D269" s="118" t="s">
        <v>3684</v>
      </c>
      <c r="E269" s="247">
        <v>88975275</v>
      </c>
    </row>
    <row r="270" spans="2:5" x14ac:dyDescent="0.2">
      <c r="B270" s="247">
        <f t="shared" si="4"/>
        <v>266</v>
      </c>
      <c r="C270" s="118" t="s">
        <v>3446</v>
      </c>
      <c r="D270" s="118" t="s">
        <v>3684</v>
      </c>
      <c r="E270" s="247">
        <v>87150275</v>
      </c>
    </row>
    <row r="271" spans="2:5" x14ac:dyDescent="0.2">
      <c r="B271" s="247">
        <f t="shared" si="4"/>
        <v>267</v>
      </c>
      <c r="C271" s="118" t="s">
        <v>3447</v>
      </c>
      <c r="D271" s="118" t="s">
        <v>3684</v>
      </c>
      <c r="E271" s="247">
        <v>86903854</v>
      </c>
    </row>
    <row r="272" spans="2:5" x14ac:dyDescent="0.2">
      <c r="B272" s="247">
        <f t="shared" si="4"/>
        <v>268</v>
      </c>
      <c r="C272" s="118" t="s">
        <v>634</v>
      </c>
      <c r="D272" s="118" t="s">
        <v>3414</v>
      </c>
      <c r="E272" s="247">
        <v>86104449</v>
      </c>
    </row>
    <row r="273" spans="2:5" x14ac:dyDescent="0.2">
      <c r="B273" s="247">
        <f t="shared" si="4"/>
        <v>269</v>
      </c>
      <c r="C273" s="118" t="s">
        <v>284</v>
      </c>
      <c r="D273" s="118" t="s">
        <v>3684</v>
      </c>
      <c r="E273" s="247">
        <v>82531223</v>
      </c>
    </row>
    <row r="274" spans="2:5" x14ac:dyDescent="0.2">
      <c r="B274" s="247">
        <f t="shared" si="4"/>
        <v>270</v>
      </c>
      <c r="C274" s="118" t="s">
        <v>265</v>
      </c>
      <c r="D274" s="118" t="s">
        <v>3684</v>
      </c>
      <c r="E274" s="247">
        <v>82200000</v>
      </c>
    </row>
    <row r="275" spans="2:5" x14ac:dyDescent="0.2">
      <c r="B275" s="247">
        <f t="shared" si="4"/>
        <v>271</v>
      </c>
      <c r="C275" s="118" t="s">
        <v>263</v>
      </c>
      <c r="D275" s="118" t="s">
        <v>3684</v>
      </c>
      <c r="E275" s="247">
        <v>81634570</v>
      </c>
    </row>
    <row r="276" spans="2:5" x14ac:dyDescent="0.2">
      <c r="B276" s="247">
        <f t="shared" si="4"/>
        <v>272</v>
      </c>
      <c r="C276" s="118" t="s">
        <v>264</v>
      </c>
      <c r="D276" s="118" t="s">
        <v>3684</v>
      </c>
      <c r="E276" s="247">
        <v>81600000</v>
      </c>
    </row>
    <row r="277" spans="2:5" x14ac:dyDescent="0.2">
      <c r="B277" s="247">
        <f t="shared" si="4"/>
        <v>273</v>
      </c>
      <c r="C277" s="118" t="s">
        <v>285</v>
      </c>
      <c r="D277" s="118" t="s">
        <v>3684</v>
      </c>
      <c r="E277" s="247">
        <v>81014530</v>
      </c>
    </row>
    <row r="278" spans="2:5" x14ac:dyDescent="0.2">
      <c r="B278" s="247">
        <f t="shared" si="4"/>
        <v>274</v>
      </c>
      <c r="C278" s="118" t="s">
        <v>266</v>
      </c>
      <c r="D278" s="118" t="s">
        <v>3687</v>
      </c>
      <c r="E278" s="247">
        <v>80489892</v>
      </c>
    </row>
    <row r="279" spans="2:5" x14ac:dyDescent="0.2">
      <c r="B279" s="247">
        <f t="shared" si="4"/>
        <v>275</v>
      </c>
      <c r="C279" s="118" t="s">
        <v>267</v>
      </c>
      <c r="D279" s="118" t="s">
        <v>3684</v>
      </c>
      <c r="E279" s="247">
        <v>79439041</v>
      </c>
    </row>
    <row r="280" spans="2:5" x14ac:dyDescent="0.2">
      <c r="B280" s="247">
        <f t="shared" si="4"/>
        <v>276</v>
      </c>
      <c r="C280" s="118" t="s">
        <v>484</v>
      </c>
      <c r="D280" s="118" t="s">
        <v>3684</v>
      </c>
      <c r="E280" s="247">
        <v>78504572</v>
      </c>
    </row>
    <row r="281" spans="2:5" x14ac:dyDescent="0.2">
      <c r="B281" s="247">
        <f t="shared" si="4"/>
        <v>277</v>
      </c>
      <c r="C281" s="118" t="s">
        <v>268</v>
      </c>
      <c r="D281" s="118" t="s">
        <v>3684</v>
      </c>
      <c r="E281" s="247">
        <v>78300000</v>
      </c>
    </row>
    <row r="282" spans="2:5" x14ac:dyDescent="0.2">
      <c r="B282" s="247">
        <f t="shared" si="4"/>
        <v>278</v>
      </c>
      <c r="C282" s="118" t="s">
        <v>269</v>
      </c>
      <c r="D282" s="118" t="s">
        <v>3684</v>
      </c>
      <c r="E282" s="247">
        <v>78000000</v>
      </c>
    </row>
    <row r="283" spans="2:5" x14ac:dyDescent="0.2">
      <c r="B283" s="247">
        <f t="shared" si="4"/>
        <v>279</v>
      </c>
      <c r="C283" s="118" t="s">
        <v>336</v>
      </c>
      <c r="D283" s="118" t="s">
        <v>3684</v>
      </c>
      <c r="E283" s="247">
        <v>77896582</v>
      </c>
    </row>
    <row r="284" spans="2:5" x14ac:dyDescent="0.2">
      <c r="B284" s="247">
        <f t="shared" si="4"/>
        <v>280</v>
      </c>
      <c r="C284" s="118" t="s">
        <v>325</v>
      </c>
      <c r="D284" s="118" t="s">
        <v>3684</v>
      </c>
      <c r="E284" s="247">
        <v>77180288</v>
      </c>
    </row>
    <row r="285" spans="2:5" x14ac:dyDescent="0.2">
      <c r="B285" s="247">
        <f t="shared" si="4"/>
        <v>281</v>
      </c>
      <c r="C285" s="118" t="s">
        <v>290</v>
      </c>
      <c r="D285" s="118" t="s">
        <v>3684</v>
      </c>
      <c r="E285" s="247">
        <v>77153448</v>
      </c>
    </row>
    <row r="286" spans="2:5" x14ac:dyDescent="0.2">
      <c r="B286" s="247">
        <f t="shared" si="4"/>
        <v>282</v>
      </c>
      <c r="C286" s="118" t="s">
        <v>342</v>
      </c>
      <c r="D286" s="118" t="s">
        <v>3684</v>
      </c>
      <c r="E286" s="247">
        <v>76598322</v>
      </c>
    </row>
    <row r="287" spans="2:5" x14ac:dyDescent="0.2">
      <c r="B287" s="247">
        <f t="shared" si="4"/>
        <v>283</v>
      </c>
      <c r="C287" s="118" t="s">
        <v>343</v>
      </c>
      <c r="D287" s="118" t="s">
        <v>3684</v>
      </c>
      <c r="E287" s="247">
        <v>76453636</v>
      </c>
    </row>
    <row r="288" spans="2:5" x14ac:dyDescent="0.2">
      <c r="B288" s="247">
        <f t="shared" si="4"/>
        <v>284</v>
      </c>
      <c r="C288" s="118" t="s">
        <v>270</v>
      </c>
      <c r="D288" s="118" t="s">
        <v>3684</v>
      </c>
      <c r="E288" s="247">
        <v>76416745</v>
      </c>
    </row>
    <row r="289" spans="2:5" x14ac:dyDescent="0.2">
      <c r="B289" s="247">
        <f t="shared" si="4"/>
        <v>285</v>
      </c>
      <c r="C289" s="118" t="s">
        <v>272</v>
      </c>
      <c r="D289" s="118" t="s">
        <v>3684</v>
      </c>
      <c r="E289" s="247">
        <v>75300000</v>
      </c>
    </row>
    <row r="290" spans="2:5" x14ac:dyDescent="0.2">
      <c r="B290" s="247">
        <f t="shared" si="4"/>
        <v>286</v>
      </c>
      <c r="C290" s="118" t="s">
        <v>3448</v>
      </c>
      <c r="D290" s="118" t="s">
        <v>3684</v>
      </c>
      <c r="E290" s="247">
        <v>75000000</v>
      </c>
    </row>
    <row r="291" spans="2:5" x14ac:dyDescent="0.2">
      <c r="B291" s="247">
        <f t="shared" si="4"/>
        <v>287</v>
      </c>
      <c r="C291" s="118" t="s">
        <v>273</v>
      </c>
      <c r="D291" s="118" t="s">
        <v>3684</v>
      </c>
      <c r="E291" s="247">
        <v>74999999</v>
      </c>
    </row>
    <row r="292" spans="2:5" x14ac:dyDescent="0.2">
      <c r="B292" s="247">
        <f t="shared" si="4"/>
        <v>288</v>
      </c>
      <c r="C292" s="118" t="s">
        <v>344</v>
      </c>
      <c r="D292" s="118" t="s">
        <v>3684</v>
      </c>
      <c r="E292" s="247">
        <v>72997878.5</v>
      </c>
    </row>
    <row r="293" spans="2:5" x14ac:dyDescent="0.2">
      <c r="B293" s="247">
        <f t="shared" si="4"/>
        <v>289</v>
      </c>
      <c r="C293" s="118" t="s">
        <v>3449</v>
      </c>
      <c r="D293" s="118" t="s">
        <v>3684</v>
      </c>
      <c r="E293" s="247">
        <v>72832275</v>
      </c>
    </row>
    <row r="294" spans="2:5" x14ac:dyDescent="0.2">
      <c r="B294" s="247">
        <f t="shared" si="4"/>
        <v>290</v>
      </c>
      <c r="C294" s="118" t="s">
        <v>635</v>
      </c>
      <c r="D294" s="118" t="s">
        <v>3414</v>
      </c>
      <c r="E294" s="247">
        <v>72006466</v>
      </c>
    </row>
    <row r="295" spans="2:5" x14ac:dyDescent="0.2">
      <c r="B295" s="247">
        <f t="shared" si="4"/>
        <v>291</v>
      </c>
      <c r="C295" s="118" t="s">
        <v>271</v>
      </c>
      <c r="D295" s="118" t="s">
        <v>3687</v>
      </c>
      <c r="E295" s="247">
        <v>71600500</v>
      </c>
    </row>
    <row r="296" spans="2:5" x14ac:dyDescent="0.2">
      <c r="B296" s="247">
        <f t="shared" si="4"/>
        <v>292</v>
      </c>
      <c r="C296" s="118" t="s">
        <v>279</v>
      </c>
      <c r="D296" s="118" t="s">
        <v>3684</v>
      </c>
      <c r="E296" s="247">
        <v>71412000</v>
      </c>
    </row>
    <row r="297" spans="2:5" x14ac:dyDescent="0.2">
      <c r="B297" s="247">
        <f t="shared" si="4"/>
        <v>293</v>
      </c>
      <c r="C297" s="118" t="s">
        <v>361</v>
      </c>
      <c r="D297" s="118" t="s">
        <v>3684</v>
      </c>
      <c r="E297" s="247">
        <v>71275113</v>
      </c>
    </row>
    <row r="298" spans="2:5" x14ac:dyDescent="0.2">
      <c r="B298" s="247">
        <f t="shared" si="4"/>
        <v>294</v>
      </c>
      <c r="C298" s="118" t="s">
        <v>280</v>
      </c>
      <c r="D298" s="118" t="s">
        <v>3684</v>
      </c>
      <c r="E298" s="247">
        <v>70504696</v>
      </c>
    </row>
    <row r="299" spans="2:5" x14ac:dyDescent="0.2">
      <c r="B299" s="247">
        <f t="shared" si="4"/>
        <v>295</v>
      </c>
      <c r="C299" s="118" t="s">
        <v>297</v>
      </c>
      <c r="D299" s="118" t="s">
        <v>3684</v>
      </c>
      <c r="E299" s="247">
        <v>70189630</v>
      </c>
    </row>
    <row r="300" spans="2:5" x14ac:dyDescent="0.2">
      <c r="B300" s="247">
        <f t="shared" si="4"/>
        <v>296</v>
      </c>
      <c r="C300" s="118" t="s">
        <v>333</v>
      </c>
      <c r="D300" s="118" t="s">
        <v>3684</v>
      </c>
      <c r="E300" s="247">
        <v>66307560</v>
      </c>
    </row>
    <row r="301" spans="2:5" x14ac:dyDescent="0.2">
      <c r="B301" s="247">
        <f t="shared" si="4"/>
        <v>297</v>
      </c>
      <c r="C301" s="118" t="s">
        <v>659</v>
      </c>
      <c r="D301" s="118" t="s">
        <v>3689</v>
      </c>
      <c r="E301" s="247">
        <v>65993989</v>
      </c>
    </row>
    <row r="302" spans="2:5" x14ac:dyDescent="0.2">
      <c r="B302" s="247">
        <f t="shared" si="4"/>
        <v>298</v>
      </c>
      <c r="C302" s="118" t="s">
        <v>660</v>
      </c>
      <c r="D302" s="118" t="s">
        <v>3684</v>
      </c>
      <c r="E302" s="247">
        <v>65700565</v>
      </c>
    </row>
    <row r="303" spans="2:5" x14ac:dyDescent="0.2">
      <c r="B303" s="247">
        <f t="shared" si="4"/>
        <v>299</v>
      </c>
      <c r="C303" s="118" t="s">
        <v>301</v>
      </c>
      <c r="D303" s="118" t="s">
        <v>3684</v>
      </c>
      <c r="E303" s="247">
        <v>65318849</v>
      </c>
    </row>
    <row r="304" spans="2:5" x14ac:dyDescent="0.2">
      <c r="B304" s="247">
        <f t="shared" si="4"/>
        <v>300</v>
      </c>
      <c r="C304" s="118" t="s">
        <v>283</v>
      </c>
      <c r="D304" s="118" t="s">
        <v>3684</v>
      </c>
      <c r="E304" s="247">
        <v>64147050</v>
      </c>
    </row>
    <row r="305" spans="2:5" x14ac:dyDescent="0.2">
      <c r="B305" s="247">
        <f t="shared" si="4"/>
        <v>301</v>
      </c>
      <c r="C305" s="118" t="s">
        <v>365</v>
      </c>
      <c r="D305" s="118" t="s">
        <v>3684</v>
      </c>
      <c r="E305" s="247">
        <v>64066883</v>
      </c>
    </row>
    <row r="306" spans="2:5" x14ac:dyDescent="0.2">
      <c r="B306" s="247">
        <f t="shared" si="4"/>
        <v>302</v>
      </c>
      <c r="C306" s="118" t="s">
        <v>323</v>
      </c>
      <c r="D306" s="118" t="s">
        <v>3684</v>
      </c>
      <c r="E306" s="247">
        <v>63934848</v>
      </c>
    </row>
    <row r="307" spans="2:5" x14ac:dyDescent="0.2">
      <c r="B307" s="247">
        <f t="shared" si="4"/>
        <v>303</v>
      </c>
      <c r="C307" s="118" t="s">
        <v>324</v>
      </c>
      <c r="D307" s="118" t="s">
        <v>3684</v>
      </c>
      <c r="E307" s="247">
        <v>63701907</v>
      </c>
    </row>
    <row r="308" spans="2:5" x14ac:dyDescent="0.2">
      <c r="B308" s="247">
        <f t="shared" si="4"/>
        <v>304</v>
      </c>
      <c r="C308" s="118" t="s">
        <v>286</v>
      </c>
      <c r="D308" s="118" t="s">
        <v>3684</v>
      </c>
      <c r="E308" s="247">
        <v>59812096</v>
      </c>
    </row>
    <row r="309" spans="2:5" x14ac:dyDescent="0.2">
      <c r="B309" s="247">
        <f t="shared" si="4"/>
        <v>305</v>
      </c>
      <c r="C309" s="118" t="s">
        <v>326</v>
      </c>
      <c r="D309" s="118" t="s">
        <v>3684</v>
      </c>
      <c r="E309" s="247">
        <v>59492795</v>
      </c>
    </row>
    <row r="310" spans="2:5" x14ac:dyDescent="0.2">
      <c r="B310" s="247">
        <f t="shared" si="4"/>
        <v>306</v>
      </c>
      <c r="C310" s="118" t="s">
        <v>287</v>
      </c>
      <c r="D310" s="118" t="s">
        <v>3684</v>
      </c>
      <c r="E310" s="247">
        <v>59491147</v>
      </c>
    </row>
    <row r="311" spans="2:5" x14ac:dyDescent="0.2">
      <c r="B311" s="247">
        <f t="shared" si="4"/>
        <v>307</v>
      </c>
      <c r="C311" s="118" t="s">
        <v>288</v>
      </c>
      <c r="D311" s="118" t="s">
        <v>3684</v>
      </c>
      <c r="E311" s="247">
        <v>58420731</v>
      </c>
    </row>
    <row r="312" spans="2:5" x14ac:dyDescent="0.2">
      <c r="B312" s="247">
        <f t="shared" si="4"/>
        <v>308</v>
      </c>
      <c r="C312" s="118" t="s">
        <v>289</v>
      </c>
      <c r="D312" s="118" t="s">
        <v>3684</v>
      </c>
      <c r="E312" s="247">
        <v>58339017</v>
      </c>
    </row>
    <row r="313" spans="2:5" x14ac:dyDescent="0.2">
      <c r="B313" s="247">
        <f t="shared" si="4"/>
        <v>309</v>
      </c>
      <c r="C313" s="118" t="s">
        <v>291</v>
      </c>
      <c r="D313" s="118" t="s">
        <v>3684</v>
      </c>
      <c r="E313" s="247">
        <v>56455100</v>
      </c>
    </row>
    <row r="314" spans="2:5" x14ac:dyDescent="0.2">
      <c r="B314" s="247">
        <f t="shared" si="4"/>
        <v>310</v>
      </c>
      <c r="C314" s="118" t="s">
        <v>3450</v>
      </c>
      <c r="D314" s="118" t="s">
        <v>3684</v>
      </c>
      <c r="E314" s="247">
        <v>55930250</v>
      </c>
    </row>
    <row r="315" spans="2:5" x14ac:dyDescent="0.2">
      <c r="B315" s="247">
        <f t="shared" si="4"/>
        <v>311</v>
      </c>
      <c r="C315" s="118" t="s">
        <v>294</v>
      </c>
      <c r="D315" s="118" t="s">
        <v>3684</v>
      </c>
      <c r="E315" s="247">
        <v>55473600</v>
      </c>
    </row>
    <row r="316" spans="2:5" x14ac:dyDescent="0.2">
      <c r="B316" s="247">
        <f t="shared" si="4"/>
        <v>312</v>
      </c>
      <c r="C316" s="118" t="s">
        <v>328</v>
      </c>
      <c r="D316" s="118" t="s">
        <v>3684</v>
      </c>
      <c r="E316" s="247">
        <v>55171746</v>
      </c>
    </row>
    <row r="317" spans="2:5" x14ac:dyDescent="0.2">
      <c r="B317" s="247">
        <f t="shared" si="4"/>
        <v>313</v>
      </c>
      <c r="C317" s="118" t="s">
        <v>295</v>
      </c>
      <c r="D317" s="118" t="s">
        <v>3684</v>
      </c>
      <c r="E317" s="247">
        <v>55000000</v>
      </c>
    </row>
    <row r="318" spans="2:5" x14ac:dyDescent="0.2">
      <c r="B318" s="247">
        <f t="shared" si="4"/>
        <v>314</v>
      </c>
      <c r="C318" s="118" t="s">
        <v>296</v>
      </c>
      <c r="D318" s="118" t="s">
        <v>3684</v>
      </c>
      <c r="E318" s="247">
        <v>55000000</v>
      </c>
    </row>
    <row r="319" spans="2:5" x14ac:dyDescent="0.2">
      <c r="B319" s="247">
        <f t="shared" si="4"/>
        <v>315</v>
      </c>
      <c r="C319" s="118" t="s">
        <v>330</v>
      </c>
      <c r="D319" s="118" t="s">
        <v>3684</v>
      </c>
      <c r="E319" s="247">
        <v>53269221</v>
      </c>
    </row>
    <row r="320" spans="2:5" x14ac:dyDescent="0.2">
      <c r="B320" s="247">
        <f t="shared" si="4"/>
        <v>316</v>
      </c>
      <c r="C320" s="118" t="s">
        <v>354</v>
      </c>
      <c r="D320" s="118" t="s">
        <v>3684</v>
      </c>
      <c r="E320" s="247">
        <v>52616312</v>
      </c>
    </row>
    <row r="321" spans="2:5" x14ac:dyDescent="0.2">
      <c r="B321" s="247">
        <f t="shared" si="4"/>
        <v>317</v>
      </c>
      <c r="C321" s="118" t="s">
        <v>218</v>
      </c>
      <c r="D321" s="118" t="s">
        <v>3684</v>
      </c>
      <c r="E321" s="247">
        <v>51827665</v>
      </c>
    </row>
    <row r="322" spans="2:5" x14ac:dyDescent="0.2">
      <c r="B322" s="247">
        <f t="shared" si="4"/>
        <v>318</v>
      </c>
      <c r="C322" s="118" t="s">
        <v>293</v>
      </c>
      <c r="D322" s="118" t="s">
        <v>3684</v>
      </c>
      <c r="E322" s="247">
        <v>51500000</v>
      </c>
    </row>
    <row r="323" spans="2:5" x14ac:dyDescent="0.2">
      <c r="B323" s="247">
        <f t="shared" si="4"/>
        <v>319</v>
      </c>
      <c r="C323" s="118" t="s">
        <v>299</v>
      </c>
      <c r="D323" s="118" t="s">
        <v>3684</v>
      </c>
      <c r="E323" s="247">
        <v>50988450</v>
      </c>
    </row>
    <row r="324" spans="2:5" x14ac:dyDescent="0.2">
      <c r="B324" s="247">
        <f t="shared" si="4"/>
        <v>320</v>
      </c>
      <c r="C324" s="118" t="s">
        <v>337</v>
      </c>
      <c r="D324" s="118" t="s">
        <v>3684</v>
      </c>
      <c r="E324" s="247">
        <v>50686920</v>
      </c>
    </row>
    <row r="325" spans="2:5" x14ac:dyDescent="0.2">
      <c r="B325" s="247">
        <f t="shared" si="4"/>
        <v>321</v>
      </c>
      <c r="C325" s="118" t="s">
        <v>300</v>
      </c>
      <c r="D325" s="118" t="s">
        <v>3684</v>
      </c>
      <c r="E325" s="247">
        <v>50280800</v>
      </c>
    </row>
    <row r="326" spans="2:5" x14ac:dyDescent="0.2">
      <c r="B326" s="247">
        <f t="shared" ref="B326:B389" si="5">B325+1</f>
        <v>322</v>
      </c>
      <c r="C326" s="118" t="s">
        <v>438</v>
      </c>
      <c r="D326" s="118" t="s">
        <v>3684</v>
      </c>
      <c r="E326" s="247">
        <v>50107163</v>
      </c>
    </row>
    <row r="327" spans="2:5" x14ac:dyDescent="0.2">
      <c r="B327" s="247">
        <f t="shared" si="5"/>
        <v>323</v>
      </c>
      <c r="C327" s="118" t="s">
        <v>302</v>
      </c>
      <c r="D327" s="118" t="s">
        <v>3684</v>
      </c>
      <c r="E327" s="247">
        <v>50050100</v>
      </c>
    </row>
    <row r="328" spans="2:5" x14ac:dyDescent="0.2">
      <c r="B328" s="247">
        <f t="shared" si="5"/>
        <v>324</v>
      </c>
      <c r="C328" s="118" t="s">
        <v>305</v>
      </c>
      <c r="D328" s="118" t="s">
        <v>3684</v>
      </c>
      <c r="E328" s="247">
        <v>50000000</v>
      </c>
    </row>
    <row r="329" spans="2:5" x14ac:dyDescent="0.2">
      <c r="B329" s="247">
        <f t="shared" si="5"/>
        <v>325</v>
      </c>
      <c r="C329" s="118" t="s">
        <v>303</v>
      </c>
      <c r="D329" s="118" t="s">
        <v>3684</v>
      </c>
      <c r="E329" s="247">
        <v>50000000</v>
      </c>
    </row>
    <row r="330" spans="2:5" x14ac:dyDescent="0.2">
      <c r="B330" s="247">
        <f t="shared" si="5"/>
        <v>326</v>
      </c>
      <c r="C330" s="118" t="s">
        <v>304</v>
      </c>
      <c r="D330" s="118" t="s">
        <v>3684</v>
      </c>
      <c r="E330" s="247">
        <v>50000000</v>
      </c>
    </row>
    <row r="331" spans="2:5" x14ac:dyDescent="0.2">
      <c r="B331" s="247">
        <f t="shared" si="5"/>
        <v>327</v>
      </c>
      <c r="C331" s="118" t="s">
        <v>314</v>
      </c>
      <c r="D331" s="118" t="s">
        <v>3684</v>
      </c>
      <c r="E331" s="247">
        <v>50000000</v>
      </c>
    </row>
    <row r="332" spans="2:5" x14ac:dyDescent="0.2">
      <c r="B332" s="247">
        <f t="shared" si="5"/>
        <v>328</v>
      </c>
      <c r="C332" s="118" t="s">
        <v>311</v>
      </c>
      <c r="D332" s="118" t="s">
        <v>3684</v>
      </c>
      <c r="E332" s="247">
        <v>50000000</v>
      </c>
    </row>
    <row r="333" spans="2:5" x14ac:dyDescent="0.2">
      <c r="B333" s="247">
        <f t="shared" si="5"/>
        <v>329</v>
      </c>
      <c r="C333" s="118" t="s">
        <v>322</v>
      </c>
      <c r="D333" s="118" t="s">
        <v>3684</v>
      </c>
      <c r="E333" s="247">
        <v>50000000</v>
      </c>
    </row>
    <row r="334" spans="2:5" x14ac:dyDescent="0.2">
      <c r="B334" s="247">
        <f t="shared" si="5"/>
        <v>330</v>
      </c>
      <c r="C334" s="118" t="s">
        <v>312</v>
      </c>
      <c r="D334" s="118" t="s">
        <v>3684</v>
      </c>
      <c r="E334" s="247">
        <v>50000000</v>
      </c>
    </row>
    <row r="335" spans="2:5" x14ac:dyDescent="0.2">
      <c r="B335" s="247">
        <f t="shared" si="5"/>
        <v>331</v>
      </c>
      <c r="C335" s="118" t="s">
        <v>316</v>
      </c>
      <c r="D335" s="118" t="s">
        <v>3684</v>
      </c>
      <c r="E335" s="247">
        <v>50000000</v>
      </c>
    </row>
    <row r="336" spans="2:5" x14ac:dyDescent="0.2">
      <c r="B336" s="247">
        <f t="shared" si="5"/>
        <v>332</v>
      </c>
      <c r="C336" s="118" t="s">
        <v>321</v>
      </c>
      <c r="D336" s="118" t="s">
        <v>3684</v>
      </c>
      <c r="E336" s="247">
        <v>50000000</v>
      </c>
    </row>
    <row r="337" spans="2:5" x14ac:dyDescent="0.2">
      <c r="B337" s="247">
        <f t="shared" si="5"/>
        <v>333</v>
      </c>
      <c r="C337" s="118" t="s">
        <v>313</v>
      </c>
      <c r="D337" s="118" t="s">
        <v>3684</v>
      </c>
      <c r="E337" s="247">
        <v>50000000</v>
      </c>
    </row>
    <row r="338" spans="2:5" x14ac:dyDescent="0.2">
      <c r="B338" s="247">
        <f t="shared" si="5"/>
        <v>334</v>
      </c>
      <c r="C338" s="118" t="s">
        <v>306</v>
      </c>
      <c r="D338" s="118" t="s">
        <v>3684</v>
      </c>
      <c r="E338" s="247">
        <v>50000000</v>
      </c>
    </row>
    <row r="339" spans="2:5" x14ac:dyDescent="0.2">
      <c r="B339" s="247">
        <f t="shared" si="5"/>
        <v>335</v>
      </c>
      <c r="C339" s="118" t="s">
        <v>315</v>
      </c>
      <c r="D339" s="118" t="s">
        <v>3684</v>
      </c>
      <c r="E339" s="247">
        <v>50000000</v>
      </c>
    </row>
    <row r="340" spans="2:5" x14ac:dyDescent="0.2">
      <c r="B340" s="247">
        <f t="shared" si="5"/>
        <v>336</v>
      </c>
      <c r="C340" s="118" t="s">
        <v>319</v>
      </c>
      <c r="D340" s="118" t="s">
        <v>3684</v>
      </c>
      <c r="E340" s="247">
        <v>50000000</v>
      </c>
    </row>
    <row r="341" spans="2:5" x14ac:dyDescent="0.2">
      <c r="B341" s="247">
        <f t="shared" si="5"/>
        <v>337</v>
      </c>
      <c r="C341" s="118" t="s">
        <v>320</v>
      </c>
      <c r="D341" s="118" t="s">
        <v>3684</v>
      </c>
      <c r="E341" s="247">
        <v>50000000</v>
      </c>
    </row>
    <row r="342" spans="2:5" x14ac:dyDescent="0.2">
      <c r="B342" s="247">
        <f t="shared" si="5"/>
        <v>338</v>
      </c>
      <c r="C342" s="118" t="s">
        <v>307</v>
      </c>
      <c r="D342" s="118" t="s">
        <v>3684</v>
      </c>
      <c r="E342" s="247">
        <v>50000000</v>
      </c>
    </row>
    <row r="343" spans="2:5" x14ac:dyDescent="0.2">
      <c r="B343" s="247">
        <f t="shared" si="5"/>
        <v>339</v>
      </c>
      <c r="C343" s="118" t="s">
        <v>317</v>
      </c>
      <c r="D343" s="118" t="s">
        <v>3684</v>
      </c>
      <c r="E343" s="247">
        <v>50000000</v>
      </c>
    </row>
    <row r="344" spans="2:5" x14ac:dyDescent="0.2">
      <c r="B344" s="247">
        <f t="shared" si="5"/>
        <v>340</v>
      </c>
      <c r="C344" s="118" t="s">
        <v>308</v>
      </c>
      <c r="D344" s="118" t="s">
        <v>3684</v>
      </c>
      <c r="E344" s="247">
        <v>50000000</v>
      </c>
    </row>
    <row r="345" spans="2:5" x14ac:dyDescent="0.2">
      <c r="B345" s="247">
        <f t="shared" si="5"/>
        <v>341</v>
      </c>
      <c r="C345" s="118" t="s">
        <v>310</v>
      </c>
      <c r="D345" s="118" t="s">
        <v>3684</v>
      </c>
      <c r="E345" s="247">
        <v>50000000</v>
      </c>
    </row>
    <row r="346" spans="2:5" x14ac:dyDescent="0.2">
      <c r="B346" s="247">
        <f t="shared" si="5"/>
        <v>342</v>
      </c>
      <c r="C346" s="118" t="s">
        <v>318</v>
      </c>
      <c r="D346" s="118" t="s">
        <v>3684</v>
      </c>
      <c r="E346" s="247">
        <v>50000000</v>
      </c>
    </row>
    <row r="347" spans="2:5" x14ac:dyDescent="0.2">
      <c r="B347" s="247">
        <f t="shared" si="5"/>
        <v>343</v>
      </c>
      <c r="C347" s="118" t="s">
        <v>309</v>
      </c>
      <c r="D347" s="118" t="s">
        <v>3684</v>
      </c>
      <c r="E347" s="247">
        <v>50000000</v>
      </c>
    </row>
    <row r="348" spans="2:5" x14ac:dyDescent="0.2">
      <c r="B348" s="247">
        <f t="shared" si="5"/>
        <v>344</v>
      </c>
      <c r="C348" s="118" t="s">
        <v>357</v>
      </c>
      <c r="D348" s="118" t="s">
        <v>3687</v>
      </c>
      <c r="E348" s="247">
        <v>48967445</v>
      </c>
    </row>
    <row r="349" spans="2:5" x14ac:dyDescent="0.2">
      <c r="B349" s="247">
        <f t="shared" si="5"/>
        <v>345</v>
      </c>
      <c r="C349" s="118" t="s">
        <v>662</v>
      </c>
      <c r="D349" s="118" t="s">
        <v>3689</v>
      </c>
      <c r="E349" s="247">
        <v>48522600</v>
      </c>
    </row>
    <row r="350" spans="2:5" x14ac:dyDescent="0.2">
      <c r="B350" s="247">
        <f t="shared" si="5"/>
        <v>346</v>
      </c>
      <c r="C350" s="118" t="s">
        <v>3451</v>
      </c>
      <c r="D350" s="118" t="s">
        <v>3684</v>
      </c>
      <c r="E350" s="247">
        <v>48308750</v>
      </c>
    </row>
    <row r="351" spans="2:5" x14ac:dyDescent="0.2">
      <c r="B351" s="247">
        <f t="shared" si="5"/>
        <v>347</v>
      </c>
      <c r="C351" s="118" t="s">
        <v>347</v>
      </c>
      <c r="D351" s="118" t="s">
        <v>3684</v>
      </c>
      <c r="E351" s="247">
        <v>48054542</v>
      </c>
    </row>
    <row r="352" spans="2:5" x14ac:dyDescent="0.2">
      <c r="B352" s="247">
        <f t="shared" si="5"/>
        <v>348</v>
      </c>
      <c r="C352" s="118" t="s">
        <v>446</v>
      </c>
      <c r="D352" s="118" t="s">
        <v>3684</v>
      </c>
      <c r="E352" s="247">
        <v>47918177</v>
      </c>
    </row>
    <row r="353" spans="2:5" x14ac:dyDescent="0.2">
      <c r="B353" s="247">
        <f t="shared" si="5"/>
        <v>349</v>
      </c>
      <c r="C353" s="118" t="s">
        <v>368</v>
      </c>
      <c r="D353" s="118" t="s">
        <v>3684</v>
      </c>
      <c r="E353" s="247">
        <v>47689990</v>
      </c>
    </row>
    <row r="354" spans="2:5" x14ac:dyDescent="0.2">
      <c r="B354" s="247">
        <f t="shared" si="5"/>
        <v>350</v>
      </c>
      <c r="C354" s="118" t="s">
        <v>369</v>
      </c>
      <c r="D354" s="118" t="s">
        <v>3684</v>
      </c>
      <c r="E354" s="247">
        <v>47529099</v>
      </c>
    </row>
    <row r="355" spans="2:5" x14ac:dyDescent="0.2">
      <c r="B355" s="247">
        <f t="shared" si="5"/>
        <v>351</v>
      </c>
      <c r="C355" s="118" t="s">
        <v>3452</v>
      </c>
      <c r="D355" s="118" t="s">
        <v>3684</v>
      </c>
      <c r="E355" s="247">
        <v>47349376</v>
      </c>
    </row>
    <row r="356" spans="2:5" x14ac:dyDescent="0.2">
      <c r="B356" s="247">
        <f t="shared" si="5"/>
        <v>352</v>
      </c>
      <c r="C356" s="118" t="s">
        <v>276</v>
      </c>
      <c r="D356" s="118" t="s">
        <v>3684</v>
      </c>
      <c r="E356" s="247">
        <v>45927205</v>
      </c>
    </row>
    <row r="357" spans="2:5" x14ac:dyDescent="0.2">
      <c r="B357" s="247">
        <f t="shared" si="5"/>
        <v>353</v>
      </c>
      <c r="C357" s="118" t="s">
        <v>3453</v>
      </c>
      <c r="D357" s="118" t="s">
        <v>3684</v>
      </c>
      <c r="E357" s="247">
        <v>45384657</v>
      </c>
    </row>
    <row r="358" spans="2:5" x14ac:dyDescent="0.2">
      <c r="B358" s="247">
        <f t="shared" si="5"/>
        <v>354</v>
      </c>
      <c r="C358" s="118" t="s">
        <v>3454</v>
      </c>
      <c r="D358" s="118" t="s">
        <v>3684</v>
      </c>
      <c r="E358" s="247">
        <v>45122336</v>
      </c>
    </row>
    <row r="359" spans="2:5" x14ac:dyDescent="0.2">
      <c r="B359" s="247">
        <f t="shared" si="5"/>
        <v>355</v>
      </c>
      <c r="C359" s="118" t="s">
        <v>663</v>
      </c>
      <c r="D359" s="118" t="s">
        <v>3689</v>
      </c>
      <c r="E359" s="247">
        <v>44272200</v>
      </c>
    </row>
    <row r="360" spans="2:5" x14ac:dyDescent="0.2">
      <c r="B360" s="247">
        <f t="shared" si="5"/>
        <v>356</v>
      </c>
      <c r="C360" s="118" t="s">
        <v>3455</v>
      </c>
      <c r="D360" s="118" t="s">
        <v>3684</v>
      </c>
      <c r="E360" s="247">
        <v>44226000</v>
      </c>
    </row>
    <row r="361" spans="2:5" x14ac:dyDescent="0.2">
      <c r="B361" s="247">
        <f t="shared" si="5"/>
        <v>357</v>
      </c>
      <c r="C361" s="118" t="s">
        <v>346</v>
      </c>
      <c r="D361" s="118" t="s">
        <v>3684</v>
      </c>
      <c r="E361" s="247">
        <v>44075311</v>
      </c>
    </row>
    <row r="362" spans="2:5" x14ac:dyDescent="0.2">
      <c r="B362" s="247">
        <f t="shared" si="5"/>
        <v>358</v>
      </c>
      <c r="C362" s="118" t="s">
        <v>3456</v>
      </c>
      <c r="D362" s="118" t="s">
        <v>3684</v>
      </c>
      <c r="E362" s="247">
        <v>43929549</v>
      </c>
    </row>
    <row r="363" spans="2:5" x14ac:dyDescent="0.2">
      <c r="B363" s="247">
        <f t="shared" si="5"/>
        <v>359</v>
      </c>
      <c r="C363" s="118" t="s">
        <v>327</v>
      </c>
      <c r="D363" s="118" t="s">
        <v>3684</v>
      </c>
      <c r="E363" s="247">
        <v>43921202</v>
      </c>
    </row>
    <row r="364" spans="2:5" x14ac:dyDescent="0.2">
      <c r="B364" s="247">
        <f t="shared" si="5"/>
        <v>360</v>
      </c>
      <c r="C364" s="118" t="s">
        <v>3457</v>
      </c>
      <c r="D364" s="118" t="s">
        <v>3684</v>
      </c>
      <c r="E364" s="247">
        <v>43883181</v>
      </c>
    </row>
    <row r="365" spans="2:5" x14ac:dyDescent="0.2">
      <c r="B365" s="247">
        <f t="shared" si="5"/>
        <v>361</v>
      </c>
      <c r="C365" s="118" t="s">
        <v>3458</v>
      </c>
      <c r="D365" s="118" t="s">
        <v>3684</v>
      </c>
      <c r="E365" s="247">
        <v>43703325</v>
      </c>
    </row>
    <row r="366" spans="2:5" x14ac:dyDescent="0.2">
      <c r="B366" s="247">
        <f t="shared" si="5"/>
        <v>362</v>
      </c>
      <c r="C366" s="118" t="s">
        <v>3459</v>
      </c>
      <c r="D366" s="118" t="s">
        <v>3684</v>
      </c>
      <c r="E366" s="247">
        <v>43699365</v>
      </c>
    </row>
    <row r="367" spans="2:5" x14ac:dyDescent="0.2">
      <c r="B367" s="247">
        <f t="shared" si="5"/>
        <v>363</v>
      </c>
      <c r="C367" s="118" t="s">
        <v>292</v>
      </c>
      <c r="D367" s="118" t="s">
        <v>3684</v>
      </c>
      <c r="E367" s="247">
        <v>41913900</v>
      </c>
    </row>
    <row r="368" spans="2:5" x14ac:dyDescent="0.2">
      <c r="B368" s="247">
        <f t="shared" si="5"/>
        <v>364</v>
      </c>
      <c r="C368" s="118" t="s">
        <v>334</v>
      </c>
      <c r="D368" s="118" t="s">
        <v>3684</v>
      </c>
      <c r="E368" s="247">
        <v>41714214</v>
      </c>
    </row>
    <row r="369" spans="2:5" x14ac:dyDescent="0.2">
      <c r="B369" s="247">
        <f t="shared" si="5"/>
        <v>365</v>
      </c>
      <c r="C369" s="118" t="s">
        <v>661</v>
      </c>
      <c r="D369" s="118" t="s">
        <v>3684</v>
      </c>
      <c r="E369" s="247">
        <v>40101250</v>
      </c>
    </row>
    <row r="370" spans="2:5" x14ac:dyDescent="0.2">
      <c r="B370" s="247">
        <f t="shared" si="5"/>
        <v>366</v>
      </c>
      <c r="C370" s="118" t="s">
        <v>332</v>
      </c>
      <c r="D370" s="118" t="s">
        <v>3687</v>
      </c>
      <c r="E370" s="247">
        <v>40000000</v>
      </c>
    </row>
    <row r="371" spans="2:5" x14ac:dyDescent="0.2">
      <c r="B371" s="247">
        <f t="shared" si="5"/>
        <v>367</v>
      </c>
      <c r="C371" s="118" t="s">
        <v>3460</v>
      </c>
      <c r="D371" s="118" t="s">
        <v>3684</v>
      </c>
      <c r="E371" s="247">
        <v>39753813</v>
      </c>
    </row>
    <row r="372" spans="2:5" x14ac:dyDescent="0.2">
      <c r="B372" s="247">
        <f t="shared" si="5"/>
        <v>368</v>
      </c>
      <c r="C372" s="118" t="s">
        <v>329</v>
      </c>
      <c r="D372" s="118" t="s">
        <v>3684</v>
      </c>
      <c r="E372" s="247">
        <v>39299400</v>
      </c>
    </row>
    <row r="373" spans="2:5" x14ac:dyDescent="0.2">
      <c r="B373" s="247">
        <f t="shared" si="5"/>
        <v>369</v>
      </c>
      <c r="C373" s="118" t="s">
        <v>664</v>
      </c>
      <c r="D373" s="118" t="s">
        <v>3689</v>
      </c>
      <c r="E373" s="247">
        <v>39091700</v>
      </c>
    </row>
    <row r="374" spans="2:5" x14ac:dyDescent="0.2">
      <c r="B374" s="247">
        <f t="shared" si="5"/>
        <v>370</v>
      </c>
      <c r="C374" s="118" t="s">
        <v>338</v>
      </c>
      <c r="D374" s="118" t="s">
        <v>3684</v>
      </c>
      <c r="E374" s="247">
        <v>37825980</v>
      </c>
    </row>
    <row r="375" spans="2:5" x14ac:dyDescent="0.2">
      <c r="B375" s="247">
        <f t="shared" si="5"/>
        <v>371</v>
      </c>
      <c r="C375" s="118" t="s">
        <v>356</v>
      </c>
      <c r="D375" s="118" t="s">
        <v>3684</v>
      </c>
      <c r="E375" s="247">
        <v>37243202</v>
      </c>
    </row>
    <row r="376" spans="2:5" x14ac:dyDescent="0.2">
      <c r="B376" s="247">
        <f t="shared" si="5"/>
        <v>372</v>
      </c>
      <c r="C376" s="118" t="s">
        <v>339</v>
      </c>
      <c r="D376" s="118" t="s">
        <v>3684</v>
      </c>
      <c r="E376" s="247">
        <v>36999998</v>
      </c>
    </row>
    <row r="377" spans="2:5" x14ac:dyDescent="0.2">
      <c r="B377" s="247">
        <f t="shared" si="5"/>
        <v>373</v>
      </c>
      <c r="C377" s="118" t="s">
        <v>335</v>
      </c>
      <c r="D377" s="118" t="s">
        <v>3687</v>
      </c>
      <c r="E377" s="247">
        <v>36625002</v>
      </c>
    </row>
    <row r="378" spans="2:5" x14ac:dyDescent="0.2">
      <c r="B378" s="247">
        <f t="shared" si="5"/>
        <v>374</v>
      </c>
      <c r="C378" s="118" t="s">
        <v>340</v>
      </c>
      <c r="D378" s="118" t="s">
        <v>3684</v>
      </c>
      <c r="E378" s="247">
        <v>36600000</v>
      </c>
    </row>
    <row r="379" spans="2:5" x14ac:dyDescent="0.2">
      <c r="B379" s="247">
        <f t="shared" si="5"/>
        <v>375</v>
      </c>
      <c r="C379" s="118" t="s">
        <v>3461</v>
      </c>
      <c r="D379" s="118" t="s">
        <v>3684</v>
      </c>
      <c r="E379" s="247">
        <v>36444009</v>
      </c>
    </row>
    <row r="380" spans="2:5" x14ac:dyDescent="0.2">
      <c r="B380" s="247">
        <f t="shared" si="5"/>
        <v>376</v>
      </c>
      <c r="C380" s="118" t="s">
        <v>341</v>
      </c>
      <c r="D380" s="118" t="s">
        <v>3684</v>
      </c>
      <c r="E380" s="247">
        <v>36180098</v>
      </c>
    </row>
    <row r="381" spans="2:5" x14ac:dyDescent="0.2">
      <c r="B381" s="247">
        <f t="shared" si="5"/>
        <v>377</v>
      </c>
      <c r="C381" s="118" t="s">
        <v>3462</v>
      </c>
      <c r="D381" s="118" t="s">
        <v>3684</v>
      </c>
      <c r="E381" s="247">
        <v>35948411</v>
      </c>
    </row>
    <row r="382" spans="2:5" x14ac:dyDescent="0.2">
      <c r="B382" s="247">
        <f t="shared" si="5"/>
        <v>378</v>
      </c>
      <c r="C382" s="118" t="s">
        <v>658</v>
      </c>
      <c r="D382" s="118" t="s">
        <v>3689</v>
      </c>
      <c r="E382" s="247">
        <v>35545799</v>
      </c>
    </row>
    <row r="383" spans="2:5" x14ac:dyDescent="0.2">
      <c r="B383" s="247">
        <f t="shared" si="5"/>
        <v>379</v>
      </c>
      <c r="C383" s="118" t="s">
        <v>345</v>
      </c>
      <c r="D383" s="118" t="s">
        <v>3684</v>
      </c>
      <c r="E383" s="247">
        <v>34615076</v>
      </c>
    </row>
    <row r="384" spans="2:5" x14ac:dyDescent="0.2">
      <c r="B384" s="247">
        <f t="shared" si="5"/>
        <v>380</v>
      </c>
      <c r="C384" s="118" t="s">
        <v>363</v>
      </c>
      <c r="D384" s="118" t="s">
        <v>3684</v>
      </c>
      <c r="E384" s="247">
        <v>34344575</v>
      </c>
    </row>
    <row r="385" spans="2:5" x14ac:dyDescent="0.2">
      <c r="B385" s="247">
        <f t="shared" si="5"/>
        <v>381</v>
      </c>
      <c r="C385" s="118" t="s">
        <v>367</v>
      </c>
      <c r="D385" s="118" t="s">
        <v>3684</v>
      </c>
      <c r="E385" s="247">
        <v>33810453</v>
      </c>
    </row>
    <row r="386" spans="2:5" x14ac:dyDescent="0.2">
      <c r="B386" s="247">
        <f t="shared" si="5"/>
        <v>382</v>
      </c>
      <c r="C386" s="118" t="s">
        <v>353</v>
      </c>
      <c r="D386" s="118" t="s">
        <v>3684</v>
      </c>
      <c r="E386" s="247">
        <v>32849758</v>
      </c>
    </row>
    <row r="387" spans="2:5" x14ac:dyDescent="0.2">
      <c r="B387" s="247">
        <f t="shared" si="5"/>
        <v>383</v>
      </c>
      <c r="C387" s="118" t="s">
        <v>448</v>
      </c>
      <c r="D387" s="118" t="s">
        <v>3684</v>
      </c>
      <c r="E387" s="247">
        <v>32719454</v>
      </c>
    </row>
    <row r="388" spans="2:5" x14ac:dyDescent="0.2">
      <c r="B388" s="247">
        <f t="shared" si="5"/>
        <v>384</v>
      </c>
      <c r="C388" s="118" t="s">
        <v>253</v>
      </c>
      <c r="D388" s="118" t="s">
        <v>3684</v>
      </c>
      <c r="E388" s="247">
        <v>31863940.829</v>
      </c>
    </row>
    <row r="389" spans="2:5" x14ac:dyDescent="0.2">
      <c r="B389" s="247">
        <f t="shared" si="5"/>
        <v>385</v>
      </c>
      <c r="C389" s="118" t="s">
        <v>636</v>
      </c>
      <c r="D389" s="118" t="s">
        <v>3414</v>
      </c>
      <c r="E389" s="247">
        <v>31834505</v>
      </c>
    </row>
    <row r="390" spans="2:5" x14ac:dyDescent="0.2">
      <c r="B390" s="247">
        <f t="shared" ref="B390:B453" si="6">B389+1</f>
        <v>386</v>
      </c>
      <c r="C390" s="118" t="s">
        <v>362</v>
      </c>
      <c r="D390" s="118" t="s">
        <v>3687</v>
      </c>
      <c r="E390" s="247">
        <v>31592298</v>
      </c>
    </row>
    <row r="391" spans="2:5" x14ac:dyDescent="0.2">
      <c r="B391" s="247">
        <f t="shared" si="6"/>
        <v>387</v>
      </c>
      <c r="C391" s="118" t="s">
        <v>3463</v>
      </c>
      <c r="D391" s="118" t="s">
        <v>3684</v>
      </c>
      <c r="E391" s="247">
        <v>31578691</v>
      </c>
    </row>
    <row r="392" spans="2:5" x14ac:dyDescent="0.2">
      <c r="B392" s="247">
        <f t="shared" si="6"/>
        <v>388</v>
      </c>
      <c r="C392" s="118" t="s">
        <v>452</v>
      </c>
      <c r="D392" s="118" t="s">
        <v>3684</v>
      </c>
      <c r="E392" s="247">
        <v>31366727</v>
      </c>
    </row>
    <row r="393" spans="2:5" x14ac:dyDescent="0.2">
      <c r="B393" s="247">
        <f t="shared" si="6"/>
        <v>389</v>
      </c>
      <c r="C393" s="118" t="s">
        <v>348</v>
      </c>
      <c r="D393" s="118" t="s">
        <v>3684</v>
      </c>
      <c r="E393" s="247">
        <v>30760986</v>
      </c>
    </row>
    <row r="394" spans="2:5" x14ac:dyDescent="0.2">
      <c r="B394" s="247">
        <f t="shared" si="6"/>
        <v>390</v>
      </c>
      <c r="C394" s="118" t="s">
        <v>385</v>
      </c>
      <c r="D394" s="118" t="s">
        <v>3684</v>
      </c>
      <c r="E394" s="247">
        <v>30593566.615053333</v>
      </c>
    </row>
    <row r="395" spans="2:5" x14ac:dyDescent="0.2">
      <c r="B395" s="247">
        <f t="shared" si="6"/>
        <v>391</v>
      </c>
      <c r="C395" s="118" t="s">
        <v>387</v>
      </c>
      <c r="D395" s="118" t="s">
        <v>3684</v>
      </c>
      <c r="E395" s="247">
        <v>30527997</v>
      </c>
    </row>
    <row r="396" spans="2:5" x14ac:dyDescent="0.2">
      <c r="B396" s="247">
        <f t="shared" si="6"/>
        <v>392</v>
      </c>
      <c r="C396" s="118" t="s">
        <v>349</v>
      </c>
      <c r="D396" s="118" t="s">
        <v>3684</v>
      </c>
      <c r="E396" s="247">
        <v>30476493</v>
      </c>
    </row>
    <row r="397" spans="2:5" x14ac:dyDescent="0.2">
      <c r="B397" s="247">
        <f t="shared" si="6"/>
        <v>393</v>
      </c>
      <c r="C397" s="118" t="s">
        <v>350</v>
      </c>
      <c r="D397" s="118" t="s">
        <v>3687</v>
      </c>
      <c r="E397" s="247">
        <v>30308482</v>
      </c>
    </row>
    <row r="398" spans="2:5" x14ac:dyDescent="0.2">
      <c r="B398" s="247">
        <f t="shared" si="6"/>
        <v>394</v>
      </c>
      <c r="C398" s="118" t="s">
        <v>3464</v>
      </c>
      <c r="D398" s="118" t="s">
        <v>3684</v>
      </c>
      <c r="E398" s="247">
        <v>30000000</v>
      </c>
    </row>
    <row r="399" spans="2:5" x14ac:dyDescent="0.2">
      <c r="B399" s="247">
        <f t="shared" si="6"/>
        <v>395</v>
      </c>
      <c r="C399" s="118" t="s">
        <v>351</v>
      </c>
      <c r="D399" s="118" t="s">
        <v>3684</v>
      </c>
      <c r="E399" s="247">
        <v>30000000</v>
      </c>
    </row>
    <row r="400" spans="2:5" x14ac:dyDescent="0.2">
      <c r="B400" s="247">
        <f t="shared" si="6"/>
        <v>396</v>
      </c>
      <c r="C400" s="118" t="s">
        <v>352</v>
      </c>
      <c r="D400" s="118" t="s">
        <v>3684</v>
      </c>
      <c r="E400" s="247">
        <v>30000000</v>
      </c>
    </row>
    <row r="401" spans="2:5" x14ac:dyDescent="0.2">
      <c r="B401" s="247">
        <f t="shared" si="6"/>
        <v>397</v>
      </c>
      <c r="C401" s="118" t="s">
        <v>389</v>
      </c>
      <c r="D401" s="118" t="s">
        <v>3684</v>
      </c>
      <c r="E401" s="247">
        <v>29699205</v>
      </c>
    </row>
    <row r="402" spans="2:5" x14ac:dyDescent="0.2">
      <c r="B402" s="247">
        <f t="shared" si="6"/>
        <v>398</v>
      </c>
      <c r="C402" s="118" t="s">
        <v>3465</v>
      </c>
      <c r="D402" s="118" t="s">
        <v>3684</v>
      </c>
      <c r="E402" s="247">
        <v>29538800</v>
      </c>
    </row>
    <row r="403" spans="2:5" x14ac:dyDescent="0.2">
      <c r="B403" s="247">
        <f t="shared" si="6"/>
        <v>399</v>
      </c>
      <c r="C403" s="118" t="s">
        <v>3466</v>
      </c>
      <c r="D403" s="118" t="s">
        <v>3684</v>
      </c>
      <c r="E403" s="247">
        <v>29414000</v>
      </c>
    </row>
    <row r="404" spans="2:5" x14ac:dyDescent="0.2">
      <c r="B404" s="247">
        <f t="shared" si="6"/>
        <v>400</v>
      </c>
      <c r="C404" s="118" t="s">
        <v>3467</v>
      </c>
      <c r="D404" s="118" t="s">
        <v>3684</v>
      </c>
      <c r="E404" s="247">
        <v>29390578</v>
      </c>
    </row>
    <row r="405" spans="2:5" x14ac:dyDescent="0.2">
      <c r="B405" s="247">
        <f t="shared" si="6"/>
        <v>401</v>
      </c>
      <c r="C405" s="118" t="s">
        <v>3468</v>
      </c>
      <c r="D405" s="118" t="s">
        <v>3684</v>
      </c>
      <c r="E405" s="247">
        <v>29284366</v>
      </c>
    </row>
    <row r="406" spans="2:5" x14ac:dyDescent="0.2">
      <c r="B406" s="247">
        <f t="shared" si="6"/>
        <v>402</v>
      </c>
      <c r="C406" s="118" t="s">
        <v>3469</v>
      </c>
      <c r="D406" s="118" t="s">
        <v>3684</v>
      </c>
      <c r="E406" s="247">
        <v>29254550</v>
      </c>
    </row>
    <row r="407" spans="2:5" x14ac:dyDescent="0.2">
      <c r="B407" s="247">
        <f t="shared" si="6"/>
        <v>403</v>
      </c>
      <c r="C407" s="118" t="s">
        <v>3470</v>
      </c>
      <c r="D407" s="118" t="s">
        <v>3684</v>
      </c>
      <c r="E407" s="247">
        <v>29245984</v>
      </c>
    </row>
    <row r="408" spans="2:5" x14ac:dyDescent="0.2">
      <c r="B408" s="247">
        <f t="shared" si="6"/>
        <v>404</v>
      </c>
      <c r="C408" s="118" t="s">
        <v>3471</v>
      </c>
      <c r="D408" s="118" t="s">
        <v>3684</v>
      </c>
      <c r="E408" s="247">
        <v>29229999</v>
      </c>
    </row>
    <row r="409" spans="2:5" x14ac:dyDescent="0.2">
      <c r="B409" s="247">
        <f t="shared" si="6"/>
        <v>405</v>
      </c>
      <c r="C409" s="118" t="s">
        <v>3472</v>
      </c>
      <c r="D409" s="118" t="s">
        <v>3684</v>
      </c>
      <c r="E409" s="247">
        <v>29213386</v>
      </c>
    </row>
    <row r="410" spans="2:5" x14ac:dyDescent="0.2">
      <c r="B410" s="247">
        <f t="shared" si="6"/>
        <v>406</v>
      </c>
      <c r="C410" s="118" t="s">
        <v>3473</v>
      </c>
      <c r="D410" s="118" t="s">
        <v>3684</v>
      </c>
      <c r="E410" s="247">
        <v>29178160</v>
      </c>
    </row>
    <row r="411" spans="2:5" x14ac:dyDescent="0.2">
      <c r="B411" s="247">
        <f t="shared" si="6"/>
        <v>407</v>
      </c>
      <c r="C411" s="118" t="s">
        <v>3474</v>
      </c>
      <c r="D411" s="118" t="s">
        <v>3684</v>
      </c>
      <c r="E411" s="247">
        <v>29123670</v>
      </c>
    </row>
    <row r="412" spans="2:5" x14ac:dyDescent="0.2">
      <c r="B412" s="247">
        <f t="shared" si="6"/>
        <v>408</v>
      </c>
      <c r="C412" s="118" t="s">
        <v>3475</v>
      </c>
      <c r="D412" s="118" t="s">
        <v>3684</v>
      </c>
      <c r="E412" s="247">
        <v>29121000</v>
      </c>
    </row>
    <row r="413" spans="2:5" x14ac:dyDescent="0.2">
      <c r="B413" s="247">
        <f t="shared" si="6"/>
        <v>409</v>
      </c>
      <c r="C413" s="118" t="s">
        <v>3476</v>
      </c>
      <c r="D413" s="118" t="s">
        <v>3684</v>
      </c>
      <c r="E413" s="247">
        <v>29100110</v>
      </c>
    </row>
    <row r="414" spans="2:5" x14ac:dyDescent="0.2">
      <c r="B414" s="247">
        <f t="shared" si="6"/>
        <v>410</v>
      </c>
      <c r="C414" s="118" t="s">
        <v>390</v>
      </c>
      <c r="D414" s="118" t="s">
        <v>3684</v>
      </c>
      <c r="E414" s="247">
        <v>28998636</v>
      </c>
    </row>
    <row r="415" spans="2:5" x14ac:dyDescent="0.2">
      <c r="B415" s="247">
        <f t="shared" si="6"/>
        <v>411</v>
      </c>
      <c r="C415" s="118" t="s">
        <v>3477</v>
      </c>
      <c r="D415" s="118" t="s">
        <v>3684</v>
      </c>
      <c r="E415" s="247">
        <v>28990500</v>
      </c>
    </row>
    <row r="416" spans="2:5" x14ac:dyDescent="0.2">
      <c r="B416" s="247">
        <f t="shared" si="6"/>
        <v>412</v>
      </c>
      <c r="C416" s="118" t="s">
        <v>3478</v>
      </c>
      <c r="D416" s="118" t="s">
        <v>3684</v>
      </c>
      <c r="E416" s="247">
        <v>28796249</v>
      </c>
    </row>
    <row r="417" spans="2:5" x14ac:dyDescent="0.2">
      <c r="B417" s="247">
        <f t="shared" si="6"/>
        <v>413</v>
      </c>
      <c r="C417" s="118" t="s">
        <v>457</v>
      </c>
      <c r="D417" s="118" t="s">
        <v>3684</v>
      </c>
      <c r="E417" s="247">
        <v>28789753</v>
      </c>
    </row>
    <row r="418" spans="2:5" x14ac:dyDescent="0.2">
      <c r="B418" s="247">
        <f t="shared" si="6"/>
        <v>414</v>
      </c>
      <c r="C418" s="118" t="s">
        <v>388</v>
      </c>
      <c r="D418" s="118" t="s">
        <v>3684</v>
      </c>
      <c r="E418" s="247">
        <v>28129106</v>
      </c>
    </row>
    <row r="419" spans="2:5" x14ac:dyDescent="0.2">
      <c r="B419" s="247">
        <f t="shared" si="6"/>
        <v>415</v>
      </c>
      <c r="C419" s="118" t="s">
        <v>359</v>
      </c>
      <c r="D419" s="118" t="s">
        <v>3684</v>
      </c>
      <c r="E419" s="247">
        <v>28105902</v>
      </c>
    </row>
    <row r="420" spans="2:5" x14ac:dyDescent="0.2">
      <c r="B420" s="247">
        <f t="shared" si="6"/>
        <v>416</v>
      </c>
      <c r="C420" s="118" t="s">
        <v>3479</v>
      </c>
      <c r="D420" s="118" t="s">
        <v>3684</v>
      </c>
      <c r="E420" s="247">
        <v>27860000</v>
      </c>
    </row>
    <row r="421" spans="2:5" x14ac:dyDescent="0.2">
      <c r="B421" s="247">
        <f t="shared" si="6"/>
        <v>417</v>
      </c>
      <c r="C421" s="118" t="s">
        <v>3480</v>
      </c>
      <c r="D421" s="118" t="s">
        <v>3684</v>
      </c>
      <c r="E421" s="247">
        <v>27832257</v>
      </c>
    </row>
    <row r="422" spans="2:5" x14ac:dyDescent="0.2">
      <c r="B422" s="247">
        <f t="shared" si="6"/>
        <v>418</v>
      </c>
      <c r="C422" s="118" t="s">
        <v>360</v>
      </c>
      <c r="D422" s="118" t="s">
        <v>3684</v>
      </c>
      <c r="E422" s="247">
        <v>27229833</v>
      </c>
    </row>
    <row r="423" spans="2:5" x14ac:dyDescent="0.2">
      <c r="B423" s="247">
        <f t="shared" si="6"/>
        <v>419</v>
      </c>
      <c r="C423" s="118" t="s">
        <v>3481</v>
      </c>
      <c r="D423" s="118" t="s">
        <v>3684</v>
      </c>
      <c r="E423" s="247">
        <v>26681250</v>
      </c>
    </row>
    <row r="424" spans="2:5" x14ac:dyDescent="0.2">
      <c r="B424" s="247">
        <f t="shared" si="6"/>
        <v>420</v>
      </c>
      <c r="C424" s="118" t="s">
        <v>399</v>
      </c>
      <c r="D424" s="118" t="s">
        <v>3684</v>
      </c>
      <c r="E424" s="247">
        <v>26290000</v>
      </c>
    </row>
    <row r="425" spans="2:5" x14ac:dyDescent="0.2">
      <c r="B425" s="247">
        <f t="shared" si="6"/>
        <v>421</v>
      </c>
      <c r="C425" s="118" t="s">
        <v>366</v>
      </c>
      <c r="D425" s="118" t="s">
        <v>3684</v>
      </c>
      <c r="E425" s="247">
        <v>26157780</v>
      </c>
    </row>
    <row r="426" spans="2:5" x14ac:dyDescent="0.2">
      <c r="B426" s="247">
        <f t="shared" si="6"/>
        <v>422</v>
      </c>
      <c r="C426" s="118" t="s">
        <v>400</v>
      </c>
      <c r="D426" s="118" t="s">
        <v>3684</v>
      </c>
      <c r="E426" s="247">
        <v>26066870</v>
      </c>
    </row>
    <row r="427" spans="2:5" x14ac:dyDescent="0.2">
      <c r="B427" s="247">
        <f t="shared" si="6"/>
        <v>423</v>
      </c>
      <c r="C427" s="118" t="s">
        <v>364</v>
      </c>
      <c r="D427" s="118" t="s">
        <v>3687</v>
      </c>
      <c r="E427" s="247">
        <v>25729579</v>
      </c>
    </row>
    <row r="428" spans="2:5" x14ac:dyDescent="0.2">
      <c r="B428" s="247">
        <f t="shared" si="6"/>
        <v>424</v>
      </c>
      <c r="C428" s="118" t="s">
        <v>3482</v>
      </c>
      <c r="D428" s="118" t="s">
        <v>3684</v>
      </c>
      <c r="E428" s="247">
        <v>25679547</v>
      </c>
    </row>
    <row r="429" spans="2:5" x14ac:dyDescent="0.2">
      <c r="B429" s="247">
        <f t="shared" si="6"/>
        <v>425</v>
      </c>
      <c r="C429" s="118" t="s">
        <v>3483</v>
      </c>
      <c r="D429" s="118" t="s">
        <v>3684</v>
      </c>
      <c r="E429" s="247">
        <v>25363125</v>
      </c>
    </row>
    <row r="430" spans="2:5" x14ac:dyDescent="0.2">
      <c r="B430" s="247">
        <f t="shared" si="6"/>
        <v>426</v>
      </c>
      <c r="C430" s="118" t="s">
        <v>3484</v>
      </c>
      <c r="D430" s="118" t="s">
        <v>3684</v>
      </c>
      <c r="E430" s="247">
        <v>25305002</v>
      </c>
    </row>
    <row r="431" spans="2:5" x14ac:dyDescent="0.2">
      <c r="B431" s="247">
        <f t="shared" si="6"/>
        <v>427</v>
      </c>
      <c r="C431" s="118" t="s">
        <v>403</v>
      </c>
      <c r="D431" s="118" t="s">
        <v>3684</v>
      </c>
      <c r="E431" s="247">
        <v>25244013</v>
      </c>
    </row>
    <row r="432" spans="2:5" x14ac:dyDescent="0.2">
      <c r="B432" s="247">
        <f t="shared" si="6"/>
        <v>428</v>
      </c>
      <c r="C432" s="118" t="s">
        <v>3485</v>
      </c>
      <c r="D432" s="118" t="s">
        <v>3684</v>
      </c>
      <c r="E432" s="247">
        <v>25192133</v>
      </c>
    </row>
    <row r="433" spans="2:5" x14ac:dyDescent="0.2">
      <c r="B433" s="247">
        <f t="shared" si="6"/>
        <v>429</v>
      </c>
      <c r="C433" s="118" t="s">
        <v>3486</v>
      </c>
      <c r="D433" s="118" t="s">
        <v>3684</v>
      </c>
      <c r="E433" s="247">
        <v>25135868</v>
      </c>
    </row>
    <row r="434" spans="2:5" x14ac:dyDescent="0.2">
      <c r="B434" s="247">
        <f t="shared" si="6"/>
        <v>430</v>
      </c>
      <c r="C434" s="118" t="s">
        <v>404</v>
      </c>
      <c r="D434" s="118" t="s">
        <v>3684</v>
      </c>
      <c r="E434" s="247">
        <v>25120816</v>
      </c>
    </row>
    <row r="435" spans="2:5" x14ac:dyDescent="0.2">
      <c r="B435" s="247">
        <f t="shared" si="6"/>
        <v>431</v>
      </c>
      <c r="C435" s="118" t="s">
        <v>371</v>
      </c>
      <c r="D435" s="118" t="s">
        <v>3684</v>
      </c>
      <c r="E435" s="247">
        <v>25000000</v>
      </c>
    </row>
    <row r="436" spans="2:5" x14ac:dyDescent="0.2">
      <c r="B436" s="247">
        <f t="shared" si="6"/>
        <v>432</v>
      </c>
      <c r="C436" s="118" t="s">
        <v>370</v>
      </c>
      <c r="D436" s="118" t="s">
        <v>3684</v>
      </c>
      <c r="E436" s="247">
        <v>25000000</v>
      </c>
    </row>
    <row r="437" spans="2:5" x14ac:dyDescent="0.2">
      <c r="B437" s="247">
        <f t="shared" si="6"/>
        <v>433</v>
      </c>
      <c r="C437" s="118" t="s">
        <v>375</v>
      </c>
      <c r="D437" s="118" t="s">
        <v>3684</v>
      </c>
      <c r="E437" s="247">
        <v>25000000</v>
      </c>
    </row>
    <row r="438" spans="2:5" x14ac:dyDescent="0.2">
      <c r="B438" s="247">
        <f t="shared" si="6"/>
        <v>434</v>
      </c>
      <c r="C438" s="118" t="s">
        <v>372</v>
      </c>
      <c r="D438" s="118" t="s">
        <v>3684</v>
      </c>
      <c r="E438" s="247">
        <v>25000000</v>
      </c>
    </row>
    <row r="439" spans="2:5" x14ac:dyDescent="0.2">
      <c r="B439" s="247">
        <f t="shared" si="6"/>
        <v>435</v>
      </c>
      <c r="C439" s="118" t="s">
        <v>380</v>
      </c>
      <c r="D439" s="118" t="s">
        <v>3684</v>
      </c>
      <c r="E439" s="247">
        <v>25000000</v>
      </c>
    </row>
    <row r="440" spans="2:5" x14ac:dyDescent="0.2">
      <c r="B440" s="247">
        <f t="shared" si="6"/>
        <v>436</v>
      </c>
      <c r="C440" s="118" t="s">
        <v>3487</v>
      </c>
      <c r="D440" s="118" t="s">
        <v>3684</v>
      </c>
      <c r="E440" s="247">
        <v>25000000</v>
      </c>
    </row>
    <row r="441" spans="2:5" x14ac:dyDescent="0.2">
      <c r="B441" s="247">
        <f t="shared" si="6"/>
        <v>437</v>
      </c>
      <c r="C441" s="118" t="s">
        <v>373</v>
      </c>
      <c r="D441" s="118" t="s">
        <v>3684</v>
      </c>
      <c r="E441" s="247">
        <v>25000000</v>
      </c>
    </row>
    <row r="442" spans="2:5" x14ac:dyDescent="0.2">
      <c r="B442" s="247">
        <f t="shared" si="6"/>
        <v>438</v>
      </c>
      <c r="C442" s="118" t="s">
        <v>377</v>
      </c>
      <c r="D442" s="118" t="s">
        <v>3684</v>
      </c>
      <c r="E442" s="247">
        <v>25000000</v>
      </c>
    </row>
    <row r="443" spans="2:5" x14ac:dyDescent="0.2">
      <c r="B443" s="247">
        <f t="shared" si="6"/>
        <v>439</v>
      </c>
      <c r="C443" s="118" t="s">
        <v>382</v>
      </c>
      <c r="D443" s="118" t="s">
        <v>3684</v>
      </c>
      <c r="E443" s="247">
        <v>25000000</v>
      </c>
    </row>
    <row r="444" spans="2:5" x14ac:dyDescent="0.2">
      <c r="B444" s="247">
        <f t="shared" si="6"/>
        <v>440</v>
      </c>
      <c r="C444" s="118" t="s">
        <v>383</v>
      </c>
      <c r="D444" s="118" t="s">
        <v>3684</v>
      </c>
      <c r="E444" s="247">
        <v>25000000</v>
      </c>
    </row>
    <row r="445" spans="2:5" x14ac:dyDescent="0.2">
      <c r="B445" s="247">
        <f t="shared" si="6"/>
        <v>441</v>
      </c>
      <c r="C445" s="118" t="s">
        <v>376</v>
      </c>
      <c r="D445" s="118" t="s">
        <v>3684</v>
      </c>
      <c r="E445" s="247">
        <v>25000000</v>
      </c>
    </row>
    <row r="446" spans="2:5" x14ac:dyDescent="0.2">
      <c r="B446" s="247">
        <f t="shared" si="6"/>
        <v>442</v>
      </c>
      <c r="C446" s="118" t="s">
        <v>381</v>
      </c>
      <c r="D446" s="118" t="s">
        <v>3684</v>
      </c>
      <c r="E446" s="247">
        <v>25000000</v>
      </c>
    </row>
    <row r="447" spans="2:5" x14ac:dyDescent="0.2">
      <c r="B447" s="247">
        <f t="shared" si="6"/>
        <v>443</v>
      </c>
      <c r="C447" s="118" t="s">
        <v>379</v>
      </c>
      <c r="D447" s="118" t="s">
        <v>3684</v>
      </c>
      <c r="E447" s="247">
        <v>25000000</v>
      </c>
    </row>
    <row r="448" spans="2:5" x14ac:dyDescent="0.2">
      <c r="B448" s="247">
        <f t="shared" si="6"/>
        <v>444</v>
      </c>
      <c r="C448" s="118" t="s">
        <v>374</v>
      </c>
      <c r="D448" s="118" t="s">
        <v>3684</v>
      </c>
      <c r="E448" s="247">
        <v>25000000</v>
      </c>
    </row>
    <row r="449" spans="2:5" x14ac:dyDescent="0.2">
      <c r="B449" s="247">
        <f t="shared" si="6"/>
        <v>445</v>
      </c>
      <c r="C449" s="118" t="s">
        <v>378</v>
      </c>
      <c r="D449" s="118" t="s">
        <v>3684</v>
      </c>
      <c r="E449" s="247">
        <v>25000000</v>
      </c>
    </row>
    <row r="450" spans="2:5" x14ac:dyDescent="0.2">
      <c r="B450" s="247">
        <f t="shared" si="6"/>
        <v>446</v>
      </c>
      <c r="C450" s="118" t="s">
        <v>3488</v>
      </c>
      <c r="D450" s="118" t="s">
        <v>3684</v>
      </c>
      <c r="E450" s="247">
        <v>24955215</v>
      </c>
    </row>
    <row r="451" spans="2:5" x14ac:dyDescent="0.2">
      <c r="B451" s="247">
        <f t="shared" si="6"/>
        <v>447</v>
      </c>
      <c r="C451" s="118" t="s">
        <v>3489</v>
      </c>
      <c r="D451" s="118" t="s">
        <v>3684</v>
      </c>
      <c r="E451" s="247">
        <v>24914587</v>
      </c>
    </row>
    <row r="452" spans="2:5" x14ac:dyDescent="0.2">
      <c r="B452" s="247">
        <f t="shared" si="6"/>
        <v>448</v>
      </c>
      <c r="C452" s="118" t="s">
        <v>3490</v>
      </c>
      <c r="D452" s="118" t="s">
        <v>3684</v>
      </c>
      <c r="E452" s="247">
        <v>24840000</v>
      </c>
    </row>
    <row r="453" spans="2:5" x14ac:dyDescent="0.2">
      <c r="B453" s="247">
        <f t="shared" si="6"/>
        <v>449</v>
      </c>
      <c r="C453" s="118" t="s">
        <v>406</v>
      </c>
      <c r="D453" s="118" t="s">
        <v>3684</v>
      </c>
      <c r="E453" s="247">
        <v>24796560</v>
      </c>
    </row>
    <row r="454" spans="2:5" x14ac:dyDescent="0.2">
      <c r="B454" s="247">
        <f t="shared" ref="B454:B517" si="7">B453+1</f>
        <v>450</v>
      </c>
      <c r="C454" s="118" t="s">
        <v>384</v>
      </c>
      <c r="D454" s="118" t="s">
        <v>3684</v>
      </c>
      <c r="E454" s="247">
        <v>24712000</v>
      </c>
    </row>
    <row r="455" spans="2:5" x14ac:dyDescent="0.2">
      <c r="B455" s="247">
        <f t="shared" si="7"/>
        <v>451</v>
      </c>
      <c r="C455" s="118" t="s">
        <v>3491</v>
      </c>
      <c r="D455" s="118" t="s">
        <v>3684</v>
      </c>
      <c r="E455" s="247">
        <v>24710057</v>
      </c>
    </row>
    <row r="456" spans="2:5" x14ac:dyDescent="0.2">
      <c r="B456" s="247">
        <f t="shared" si="7"/>
        <v>452</v>
      </c>
      <c r="C456" s="118" t="s">
        <v>410</v>
      </c>
      <c r="D456" s="118" t="s">
        <v>3684</v>
      </c>
      <c r="E456" s="247">
        <v>24582166</v>
      </c>
    </row>
    <row r="457" spans="2:5" x14ac:dyDescent="0.2">
      <c r="B457" s="247">
        <f t="shared" si="7"/>
        <v>453</v>
      </c>
      <c r="C457" s="118" t="s">
        <v>3492</v>
      </c>
      <c r="D457" s="118" t="s">
        <v>3684</v>
      </c>
      <c r="E457" s="247">
        <v>24362705</v>
      </c>
    </row>
    <row r="458" spans="2:5" x14ac:dyDescent="0.2">
      <c r="B458" s="247">
        <f t="shared" si="7"/>
        <v>454</v>
      </c>
      <c r="C458" s="118" t="s">
        <v>3493</v>
      </c>
      <c r="D458" s="118" t="s">
        <v>3684</v>
      </c>
      <c r="E458" s="247">
        <v>24041500</v>
      </c>
    </row>
    <row r="459" spans="2:5" x14ac:dyDescent="0.2">
      <c r="B459" s="247">
        <f t="shared" si="7"/>
        <v>455</v>
      </c>
      <c r="C459" s="118" t="s">
        <v>3494</v>
      </c>
      <c r="D459" s="118" t="s">
        <v>3684</v>
      </c>
      <c r="E459" s="247">
        <v>23818900</v>
      </c>
    </row>
    <row r="460" spans="2:5" x14ac:dyDescent="0.2">
      <c r="B460" s="247">
        <f t="shared" si="7"/>
        <v>456</v>
      </c>
      <c r="C460" s="118" t="s">
        <v>386</v>
      </c>
      <c r="D460" s="118" t="s">
        <v>3684</v>
      </c>
      <c r="E460" s="247">
        <v>23512462</v>
      </c>
    </row>
    <row r="461" spans="2:5" x14ac:dyDescent="0.2">
      <c r="B461" s="247">
        <f t="shared" si="7"/>
        <v>457</v>
      </c>
      <c r="C461" s="118" t="s">
        <v>3495</v>
      </c>
      <c r="D461" s="118" t="s">
        <v>3684</v>
      </c>
      <c r="E461" s="247">
        <v>23505001</v>
      </c>
    </row>
    <row r="462" spans="2:5" x14ac:dyDescent="0.2">
      <c r="B462" s="247">
        <f t="shared" si="7"/>
        <v>458</v>
      </c>
      <c r="C462" s="118" t="s">
        <v>3496</v>
      </c>
      <c r="D462" s="118" t="s">
        <v>3684</v>
      </c>
      <c r="E462" s="247">
        <v>23504739</v>
      </c>
    </row>
    <row r="463" spans="2:5" x14ac:dyDescent="0.2">
      <c r="B463" s="247">
        <f t="shared" si="7"/>
        <v>459</v>
      </c>
      <c r="C463" s="118" t="s">
        <v>3497</v>
      </c>
      <c r="D463" s="118" t="s">
        <v>3684</v>
      </c>
      <c r="E463" s="247">
        <v>23044985</v>
      </c>
    </row>
    <row r="464" spans="2:5" x14ac:dyDescent="0.2">
      <c r="B464" s="247">
        <f t="shared" si="7"/>
        <v>460</v>
      </c>
      <c r="C464" s="118" t="s">
        <v>331</v>
      </c>
      <c r="D464" s="118" t="s">
        <v>3687</v>
      </c>
      <c r="E464" s="247">
        <v>23000000</v>
      </c>
    </row>
    <row r="465" spans="2:5" x14ac:dyDescent="0.2">
      <c r="B465" s="247">
        <f t="shared" si="7"/>
        <v>461</v>
      </c>
      <c r="C465" s="118" t="s">
        <v>414</v>
      </c>
      <c r="D465" s="118" t="s">
        <v>3684</v>
      </c>
      <c r="E465" s="247">
        <v>22930146</v>
      </c>
    </row>
    <row r="466" spans="2:5" x14ac:dyDescent="0.2">
      <c r="B466" s="247">
        <f t="shared" si="7"/>
        <v>462</v>
      </c>
      <c r="C466" s="118" t="s">
        <v>415</v>
      </c>
      <c r="D466" s="118" t="s">
        <v>3684</v>
      </c>
      <c r="E466" s="247">
        <v>22811901</v>
      </c>
    </row>
    <row r="467" spans="2:5" x14ac:dyDescent="0.2">
      <c r="B467" s="247">
        <f t="shared" si="7"/>
        <v>463</v>
      </c>
      <c r="C467" s="118" t="s">
        <v>391</v>
      </c>
      <c r="D467" s="118" t="s">
        <v>3684</v>
      </c>
      <c r="E467" s="247">
        <v>22258200</v>
      </c>
    </row>
    <row r="468" spans="2:5" x14ac:dyDescent="0.2">
      <c r="B468" s="247">
        <f t="shared" si="7"/>
        <v>464</v>
      </c>
      <c r="C468" s="118" t="s">
        <v>416</v>
      </c>
      <c r="D468" s="118" t="s">
        <v>3684</v>
      </c>
      <c r="E468" s="247">
        <v>21927456</v>
      </c>
    </row>
    <row r="469" spans="2:5" x14ac:dyDescent="0.2">
      <c r="B469" s="247">
        <f t="shared" si="7"/>
        <v>465</v>
      </c>
      <c r="C469" s="118" t="s">
        <v>392</v>
      </c>
      <c r="D469" s="118" t="s">
        <v>3684</v>
      </c>
      <c r="E469" s="247">
        <v>21874860</v>
      </c>
    </row>
    <row r="470" spans="2:5" x14ac:dyDescent="0.2">
      <c r="B470" s="247">
        <f t="shared" si="7"/>
        <v>466</v>
      </c>
      <c r="C470" s="118" t="s">
        <v>393</v>
      </c>
      <c r="D470" s="118" t="s">
        <v>3684</v>
      </c>
      <c r="E470" s="247">
        <v>21806279</v>
      </c>
    </row>
    <row r="471" spans="2:5" x14ac:dyDescent="0.2">
      <c r="B471" s="247">
        <f t="shared" si="7"/>
        <v>467</v>
      </c>
      <c r="C471" s="118" t="s">
        <v>412</v>
      </c>
      <c r="D471" s="118" t="s">
        <v>3684</v>
      </c>
      <c r="E471" s="247">
        <v>21500000</v>
      </c>
    </row>
    <row r="472" spans="2:5" x14ac:dyDescent="0.2">
      <c r="B472" s="247">
        <f t="shared" si="7"/>
        <v>468</v>
      </c>
      <c r="C472" s="118" t="s">
        <v>394</v>
      </c>
      <c r="D472" s="118" t="s">
        <v>3684</v>
      </c>
      <c r="E472" s="247">
        <v>21450793</v>
      </c>
    </row>
    <row r="473" spans="2:5" x14ac:dyDescent="0.2">
      <c r="B473" s="247">
        <f t="shared" si="7"/>
        <v>469</v>
      </c>
      <c r="C473" s="118" t="s">
        <v>420</v>
      </c>
      <c r="D473" s="118" t="s">
        <v>3684</v>
      </c>
      <c r="E473" s="247">
        <v>21165094</v>
      </c>
    </row>
    <row r="474" spans="2:5" x14ac:dyDescent="0.2">
      <c r="B474" s="247">
        <f t="shared" si="7"/>
        <v>470</v>
      </c>
      <c r="C474" s="118" t="s">
        <v>547</v>
      </c>
      <c r="D474" s="118" t="s">
        <v>3684</v>
      </c>
      <c r="E474" s="247">
        <v>21116129</v>
      </c>
    </row>
    <row r="475" spans="2:5" x14ac:dyDescent="0.2">
      <c r="B475" s="247">
        <f t="shared" si="7"/>
        <v>471</v>
      </c>
      <c r="C475" s="118" t="s">
        <v>395</v>
      </c>
      <c r="D475" s="118" t="s">
        <v>3684</v>
      </c>
      <c r="E475" s="247">
        <v>20942100</v>
      </c>
    </row>
    <row r="476" spans="2:5" x14ac:dyDescent="0.2">
      <c r="B476" s="247">
        <f t="shared" si="7"/>
        <v>472</v>
      </c>
      <c r="C476" s="118" t="s">
        <v>396</v>
      </c>
      <c r="D476" s="118" t="s">
        <v>3684</v>
      </c>
      <c r="E476" s="247">
        <v>20845312</v>
      </c>
    </row>
    <row r="477" spans="2:5" x14ac:dyDescent="0.2">
      <c r="B477" s="247">
        <f t="shared" si="7"/>
        <v>473</v>
      </c>
      <c r="C477" s="118" t="s">
        <v>397</v>
      </c>
      <c r="D477" s="118" t="s">
        <v>3684</v>
      </c>
      <c r="E477" s="247">
        <v>20700000</v>
      </c>
    </row>
    <row r="478" spans="2:5" x14ac:dyDescent="0.2">
      <c r="B478" s="247">
        <f t="shared" si="7"/>
        <v>474</v>
      </c>
      <c r="C478" s="118" t="s">
        <v>423</v>
      </c>
      <c r="D478" s="118" t="s">
        <v>3684</v>
      </c>
      <c r="E478" s="247">
        <v>20608142</v>
      </c>
    </row>
    <row r="479" spans="2:5" x14ac:dyDescent="0.2">
      <c r="B479" s="247">
        <f t="shared" si="7"/>
        <v>475</v>
      </c>
      <c r="C479" s="118" t="s">
        <v>3498</v>
      </c>
      <c r="D479" s="118" t="s">
        <v>3684</v>
      </c>
      <c r="E479" s="247">
        <v>20500000</v>
      </c>
    </row>
    <row r="480" spans="2:5" x14ac:dyDescent="0.2">
      <c r="B480" s="247">
        <f t="shared" si="7"/>
        <v>476</v>
      </c>
      <c r="C480" s="118" t="s">
        <v>398</v>
      </c>
      <c r="D480" s="118" t="s">
        <v>3684</v>
      </c>
      <c r="E480" s="247">
        <v>20390000</v>
      </c>
    </row>
    <row r="481" spans="2:5" x14ac:dyDescent="0.2">
      <c r="B481" s="247">
        <f t="shared" si="7"/>
        <v>477</v>
      </c>
      <c r="C481" s="118" t="s">
        <v>427</v>
      </c>
      <c r="D481" s="118" t="s">
        <v>3684</v>
      </c>
      <c r="E481" s="247">
        <v>20039223</v>
      </c>
    </row>
    <row r="482" spans="2:5" x14ac:dyDescent="0.2">
      <c r="B482" s="247">
        <f t="shared" si="7"/>
        <v>478</v>
      </c>
      <c r="C482" s="118" t="s">
        <v>449</v>
      </c>
      <c r="D482" s="118" t="s">
        <v>3684</v>
      </c>
      <c r="E482" s="247">
        <v>19966355</v>
      </c>
    </row>
    <row r="483" spans="2:5" x14ac:dyDescent="0.2">
      <c r="B483" s="247">
        <f t="shared" si="7"/>
        <v>479</v>
      </c>
      <c r="C483" s="118" t="s">
        <v>3499</v>
      </c>
      <c r="D483" s="118" t="s">
        <v>3684</v>
      </c>
      <c r="E483" s="247">
        <v>19900000</v>
      </c>
    </row>
    <row r="484" spans="2:5" x14ac:dyDescent="0.2">
      <c r="B484" s="247">
        <f t="shared" si="7"/>
        <v>480</v>
      </c>
      <c r="C484" s="118" t="s">
        <v>3500</v>
      </c>
      <c r="D484" s="118" t="s">
        <v>3684</v>
      </c>
      <c r="E484" s="247">
        <v>19804205</v>
      </c>
    </row>
    <row r="485" spans="2:5" x14ac:dyDescent="0.2">
      <c r="B485" s="247">
        <f t="shared" si="7"/>
        <v>481</v>
      </c>
      <c r="C485" s="118" t="s">
        <v>428</v>
      </c>
      <c r="D485" s="118" t="s">
        <v>3684</v>
      </c>
      <c r="E485" s="247">
        <v>19699418</v>
      </c>
    </row>
    <row r="486" spans="2:5" x14ac:dyDescent="0.2">
      <c r="B486" s="247">
        <f t="shared" si="7"/>
        <v>482</v>
      </c>
      <c r="C486" s="118" t="s">
        <v>401</v>
      </c>
      <c r="D486" s="118" t="s">
        <v>3684</v>
      </c>
      <c r="E486" s="247">
        <v>19583839</v>
      </c>
    </row>
    <row r="487" spans="2:5" x14ac:dyDescent="0.2">
      <c r="B487" s="247">
        <f t="shared" si="7"/>
        <v>483</v>
      </c>
      <c r="C487" s="118" t="s">
        <v>3501</v>
      </c>
      <c r="D487" s="118" t="s">
        <v>3684</v>
      </c>
      <c r="E487" s="247">
        <v>19531433</v>
      </c>
    </row>
    <row r="488" spans="2:5" x14ac:dyDescent="0.2">
      <c r="B488" s="247">
        <f t="shared" si="7"/>
        <v>484</v>
      </c>
      <c r="C488" s="118" t="s">
        <v>402</v>
      </c>
      <c r="D488" s="118" t="s">
        <v>3684</v>
      </c>
      <c r="E488" s="247">
        <v>19491976</v>
      </c>
    </row>
    <row r="489" spans="2:5" x14ac:dyDescent="0.2">
      <c r="B489" s="247">
        <f t="shared" si="7"/>
        <v>485</v>
      </c>
      <c r="C489" s="118" t="s">
        <v>405</v>
      </c>
      <c r="D489" s="118" t="s">
        <v>3684</v>
      </c>
      <c r="E489" s="247">
        <v>19151994</v>
      </c>
    </row>
    <row r="490" spans="2:5" x14ac:dyDescent="0.2">
      <c r="B490" s="247">
        <f t="shared" si="7"/>
        <v>486</v>
      </c>
      <c r="C490" s="118" t="s">
        <v>355</v>
      </c>
      <c r="D490" s="118" t="s">
        <v>3684</v>
      </c>
      <c r="E490" s="247">
        <v>19106630</v>
      </c>
    </row>
    <row r="491" spans="2:5" x14ac:dyDescent="0.2">
      <c r="B491" s="247">
        <f t="shared" si="7"/>
        <v>487</v>
      </c>
      <c r="C491" s="118" t="s">
        <v>3502</v>
      </c>
      <c r="D491" s="118" t="s">
        <v>3684</v>
      </c>
      <c r="E491" s="247">
        <v>19047052</v>
      </c>
    </row>
    <row r="492" spans="2:5" x14ac:dyDescent="0.2">
      <c r="B492" s="247">
        <f t="shared" si="7"/>
        <v>488</v>
      </c>
      <c r="C492" s="118" t="s">
        <v>552</v>
      </c>
      <c r="D492" s="118" t="s">
        <v>3684</v>
      </c>
      <c r="E492" s="247">
        <v>19021500</v>
      </c>
    </row>
    <row r="493" spans="2:5" x14ac:dyDescent="0.2">
      <c r="B493" s="247">
        <f t="shared" si="7"/>
        <v>489</v>
      </c>
      <c r="C493" s="118" t="s">
        <v>407</v>
      </c>
      <c r="D493" s="118" t="s">
        <v>3684</v>
      </c>
      <c r="E493" s="247">
        <v>18978877</v>
      </c>
    </row>
    <row r="494" spans="2:5" x14ac:dyDescent="0.2">
      <c r="B494" s="247">
        <f t="shared" si="7"/>
        <v>490</v>
      </c>
      <c r="C494" s="118" t="s">
        <v>408</v>
      </c>
      <c r="D494" s="118" t="s">
        <v>3684</v>
      </c>
      <c r="E494" s="247">
        <v>18978535</v>
      </c>
    </row>
    <row r="495" spans="2:5" x14ac:dyDescent="0.2">
      <c r="B495" s="247">
        <f t="shared" si="7"/>
        <v>491</v>
      </c>
      <c r="C495" s="118" t="s">
        <v>3503</v>
      </c>
      <c r="D495" s="118" t="s">
        <v>3684</v>
      </c>
      <c r="E495" s="247">
        <v>18946400</v>
      </c>
    </row>
    <row r="496" spans="2:5" x14ac:dyDescent="0.2">
      <c r="B496" s="247">
        <f t="shared" si="7"/>
        <v>492</v>
      </c>
      <c r="C496" s="118" t="s">
        <v>358</v>
      </c>
      <c r="D496" s="118" t="s">
        <v>3684</v>
      </c>
      <c r="E496" s="247">
        <v>18896472</v>
      </c>
    </row>
    <row r="497" spans="2:5" x14ac:dyDescent="0.2">
      <c r="B497" s="247">
        <f t="shared" si="7"/>
        <v>493</v>
      </c>
      <c r="C497" s="118" t="s">
        <v>3504</v>
      </c>
      <c r="D497" s="118" t="s">
        <v>3684</v>
      </c>
      <c r="E497" s="247">
        <v>18797013</v>
      </c>
    </row>
    <row r="498" spans="2:5" x14ac:dyDescent="0.2">
      <c r="B498" s="247">
        <f t="shared" si="7"/>
        <v>494</v>
      </c>
      <c r="C498" s="118" t="s">
        <v>298</v>
      </c>
      <c r="D498" s="118" t="s">
        <v>3684</v>
      </c>
      <c r="E498" s="247">
        <v>18106250</v>
      </c>
    </row>
    <row r="499" spans="2:5" x14ac:dyDescent="0.2">
      <c r="B499" s="247">
        <f t="shared" si="7"/>
        <v>495</v>
      </c>
      <c r="C499" s="118" t="s">
        <v>586</v>
      </c>
      <c r="D499" s="118" t="s">
        <v>3684</v>
      </c>
      <c r="E499" s="247">
        <v>17826378</v>
      </c>
    </row>
    <row r="500" spans="2:5" x14ac:dyDescent="0.2">
      <c r="B500" s="247">
        <f t="shared" si="7"/>
        <v>496</v>
      </c>
      <c r="C500" s="118" t="s">
        <v>409</v>
      </c>
      <c r="D500" s="118" t="s">
        <v>3684</v>
      </c>
      <c r="E500" s="247">
        <v>17466000</v>
      </c>
    </row>
    <row r="501" spans="2:5" x14ac:dyDescent="0.2">
      <c r="B501" s="247">
        <f t="shared" si="7"/>
        <v>497</v>
      </c>
      <c r="C501" s="118" t="s">
        <v>665</v>
      </c>
      <c r="D501" s="118" t="s">
        <v>3689</v>
      </c>
      <c r="E501" s="247">
        <v>17412000</v>
      </c>
    </row>
    <row r="502" spans="2:5" x14ac:dyDescent="0.2">
      <c r="B502" s="247">
        <f t="shared" si="7"/>
        <v>498</v>
      </c>
      <c r="C502" s="118" t="s">
        <v>3505</v>
      </c>
      <c r="D502" s="118" t="s">
        <v>3684</v>
      </c>
      <c r="E502" s="247">
        <v>17395300</v>
      </c>
    </row>
    <row r="503" spans="2:5" x14ac:dyDescent="0.2">
      <c r="B503" s="247">
        <f t="shared" si="7"/>
        <v>499</v>
      </c>
      <c r="C503" s="118" t="s">
        <v>3506</v>
      </c>
      <c r="D503" s="118" t="s">
        <v>3684</v>
      </c>
      <c r="E503" s="247">
        <v>17395300</v>
      </c>
    </row>
    <row r="504" spans="2:5" x14ac:dyDescent="0.2">
      <c r="B504" s="247">
        <f t="shared" si="7"/>
        <v>500</v>
      </c>
      <c r="C504" s="118" t="s">
        <v>3507</v>
      </c>
      <c r="D504" s="118" t="s">
        <v>3684</v>
      </c>
      <c r="E504" s="247">
        <v>17385248</v>
      </c>
    </row>
    <row r="505" spans="2:5" x14ac:dyDescent="0.2">
      <c r="B505" s="247">
        <f t="shared" si="7"/>
        <v>501</v>
      </c>
      <c r="C505" s="118" t="s">
        <v>3508</v>
      </c>
      <c r="D505" s="118" t="s">
        <v>3684</v>
      </c>
      <c r="E505" s="247">
        <v>17250000</v>
      </c>
    </row>
    <row r="506" spans="2:5" x14ac:dyDescent="0.2">
      <c r="B506" s="247">
        <f t="shared" si="7"/>
        <v>502</v>
      </c>
      <c r="C506" s="118" t="s">
        <v>3509</v>
      </c>
      <c r="D506" s="118" t="s">
        <v>3684</v>
      </c>
      <c r="E506" s="247">
        <v>17150000</v>
      </c>
    </row>
    <row r="507" spans="2:5" x14ac:dyDescent="0.2">
      <c r="B507" s="247">
        <f t="shared" si="7"/>
        <v>503</v>
      </c>
      <c r="C507" s="118" t="s">
        <v>3510</v>
      </c>
      <c r="D507" s="118" t="s">
        <v>3684</v>
      </c>
      <c r="E507" s="247">
        <v>17100000</v>
      </c>
    </row>
    <row r="508" spans="2:5" x14ac:dyDescent="0.2">
      <c r="B508" s="247">
        <f t="shared" si="7"/>
        <v>504</v>
      </c>
      <c r="C508" s="118" t="s">
        <v>417</v>
      </c>
      <c r="D508" s="118" t="s">
        <v>3684</v>
      </c>
      <c r="E508" s="247">
        <v>16850000</v>
      </c>
    </row>
    <row r="509" spans="2:5" x14ac:dyDescent="0.2">
      <c r="B509" s="247">
        <f t="shared" si="7"/>
        <v>505</v>
      </c>
      <c r="C509" s="118" t="s">
        <v>3511</v>
      </c>
      <c r="D509" s="118" t="s">
        <v>3684</v>
      </c>
      <c r="E509" s="247">
        <v>16527500</v>
      </c>
    </row>
    <row r="510" spans="2:5" x14ac:dyDescent="0.2">
      <c r="B510" s="247">
        <f t="shared" si="7"/>
        <v>506</v>
      </c>
      <c r="C510" s="118" t="s">
        <v>418</v>
      </c>
      <c r="D510" s="118" t="s">
        <v>3684</v>
      </c>
      <c r="E510" s="247">
        <v>16493042</v>
      </c>
    </row>
    <row r="511" spans="2:5" x14ac:dyDescent="0.2">
      <c r="B511" s="247">
        <f t="shared" si="7"/>
        <v>507</v>
      </c>
      <c r="C511" s="118" t="s">
        <v>419</v>
      </c>
      <c r="D511" s="118" t="s">
        <v>3684</v>
      </c>
      <c r="E511" s="247">
        <v>16400563</v>
      </c>
    </row>
    <row r="512" spans="2:5" x14ac:dyDescent="0.2">
      <c r="B512" s="247">
        <f t="shared" si="7"/>
        <v>508</v>
      </c>
      <c r="C512" s="118" t="s">
        <v>3512</v>
      </c>
      <c r="D512" s="118" t="s">
        <v>3684</v>
      </c>
      <c r="E512" s="247">
        <v>16261425</v>
      </c>
    </row>
    <row r="513" spans="2:5" x14ac:dyDescent="0.2">
      <c r="B513" s="247">
        <f t="shared" si="7"/>
        <v>509</v>
      </c>
      <c r="C513" s="118" t="s">
        <v>3513</v>
      </c>
      <c r="D513" s="118" t="s">
        <v>3684</v>
      </c>
      <c r="E513" s="247">
        <v>16224562</v>
      </c>
    </row>
    <row r="514" spans="2:5" x14ac:dyDescent="0.2">
      <c r="B514" s="247">
        <f t="shared" si="7"/>
        <v>510</v>
      </c>
      <c r="C514" s="118" t="s">
        <v>440</v>
      </c>
      <c r="D514" s="118" t="s">
        <v>3684</v>
      </c>
      <c r="E514" s="247">
        <v>16060000</v>
      </c>
    </row>
    <row r="515" spans="2:5" x14ac:dyDescent="0.2">
      <c r="B515" s="247">
        <f t="shared" si="7"/>
        <v>511</v>
      </c>
      <c r="C515" s="118" t="s">
        <v>3514</v>
      </c>
      <c r="D515" s="118" t="s">
        <v>3684</v>
      </c>
      <c r="E515" s="247">
        <v>16000000</v>
      </c>
    </row>
    <row r="516" spans="2:5" x14ac:dyDescent="0.2">
      <c r="B516" s="247">
        <f t="shared" si="7"/>
        <v>512</v>
      </c>
      <c r="C516" s="118" t="s">
        <v>422</v>
      </c>
      <c r="D516" s="118" t="s">
        <v>3684</v>
      </c>
      <c r="E516" s="247">
        <v>16000000</v>
      </c>
    </row>
    <row r="517" spans="2:5" x14ac:dyDescent="0.2">
      <c r="B517" s="247">
        <f t="shared" si="7"/>
        <v>513</v>
      </c>
      <c r="C517" s="118" t="s">
        <v>411</v>
      </c>
      <c r="D517" s="118" t="s">
        <v>3684</v>
      </c>
      <c r="E517" s="247">
        <v>15665000</v>
      </c>
    </row>
    <row r="518" spans="2:5" x14ac:dyDescent="0.2">
      <c r="B518" s="247">
        <f t="shared" ref="B518:B581" si="8">B517+1</f>
        <v>514</v>
      </c>
      <c r="C518" s="118" t="s">
        <v>424</v>
      </c>
      <c r="D518" s="118" t="s">
        <v>3684</v>
      </c>
      <c r="E518" s="247">
        <v>15608135</v>
      </c>
    </row>
    <row r="519" spans="2:5" x14ac:dyDescent="0.2">
      <c r="B519" s="247">
        <f t="shared" si="8"/>
        <v>515</v>
      </c>
      <c r="C519" s="118" t="s">
        <v>425</v>
      </c>
      <c r="D519" s="118" t="s">
        <v>3684</v>
      </c>
      <c r="E519" s="247">
        <v>15600000</v>
      </c>
    </row>
    <row r="520" spans="2:5" x14ac:dyDescent="0.2">
      <c r="B520" s="247">
        <f t="shared" si="8"/>
        <v>516</v>
      </c>
      <c r="C520" s="118" t="s">
        <v>453</v>
      </c>
      <c r="D520" s="118" t="s">
        <v>3684</v>
      </c>
      <c r="E520" s="247">
        <v>15506678</v>
      </c>
    </row>
    <row r="521" spans="2:5" x14ac:dyDescent="0.2">
      <c r="B521" s="247">
        <f t="shared" si="8"/>
        <v>517</v>
      </c>
      <c r="C521" s="118" t="s">
        <v>426</v>
      </c>
      <c r="D521" s="118" t="s">
        <v>3684</v>
      </c>
      <c r="E521" s="247">
        <v>15500000</v>
      </c>
    </row>
    <row r="522" spans="2:5" x14ac:dyDescent="0.2">
      <c r="B522" s="247">
        <f t="shared" si="8"/>
        <v>518</v>
      </c>
      <c r="C522" s="118" t="s">
        <v>3515</v>
      </c>
      <c r="D522" s="118" t="s">
        <v>3684</v>
      </c>
      <c r="E522" s="247">
        <v>15376500</v>
      </c>
    </row>
    <row r="523" spans="2:5" x14ac:dyDescent="0.2">
      <c r="B523" s="247">
        <f t="shared" si="8"/>
        <v>519</v>
      </c>
      <c r="C523" s="118" t="s">
        <v>454</v>
      </c>
      <c r="D523" s="118" t="s">
        <v>3684</v>
      </c>
      <c r="E523" s="247">
        <v>15316402</v>
      </c>
    </row>
    <row r="524" spans="2:5" x14ac:dyDescent="0.2">
      <c r="B524" s="247">
        <f t="shared" si="8"/>
        <v>520</v>
      </c>
      <c r="C524" s="118" t="s">
        <v>455</v>
      </c>
      <c r="D524" s="118" t="s">
        <v>3684</v>
      </c>
      <c r="E524" s="247">
        <v>15220630</v>
      </c>
    </row>
    <row r="525" spans="2:5" x14ac:dyDescent="0.2">
      <c r="B525" s="247">
        <f t="shared" si="8"/>
        <v>521</v>
      </c>
      <c r="C525" s="118" t="s">
        <v>3516</v>
      </c>
      <c r="D525" s="118" t="s">
        <v>3684</v>
      </c>
      <c r="E525" s="247">
        <v>15195000</v>
      </c>
    </row>
    <row r="526" spans="2:5" x14ac:dyDescent="0.2">
      <c r="B526" s="247">
        <f t="shared" si="8"/>
        <v>522</v>
      </c>
      <c r="C526" s="118" t="s">
        <v>3517</v>
      </c>
      <c r="D526" s="118" t="s">
        <v>3684</v>
      </c>
      <c r="E526" s="247">
        <v>15155964</v>
      </c>
    </row>
    <row r="527" spans="2:5" x14ac:dyDescent="0.2">
      <c r="B527" s="247">
        <f t="shared" si="8"/>
        <v>523</v>
      </c>
      <c r="C527" s="118" t="s">
        <v>429</v>
      </c>
      <c r="D527" s="118" t="s">
        <v>3684</v>
      </c>
      <c r="E527" s="247">
        <v>15136323</v>
      </c>
    </row>
    <row r="528" spans="2:5" x14ac:dyDescent="0.2">
      <c r="B528" s="247">
        <f t="shared" si="8"/>
        <v>524</v>
      </c>
      <c r="C528" s="118" t="s">
        <v>3518</v>
      </c>
      <c r="D528" s="118" t="s">
        <v>3684</v>
      </c>
      <c r="E528" s="247">
        <v>15135168</v>
      </c>
    </row>
    <row r="529" spans="2:5" x14ac:dyDescent="0.2">
      <c r="B529" s="247">
        <f t="shared" si="8"/>
        <v>525</v>
      </c>
      <c r="C529" s="118" t="s">
        <v>3519</v>
      </c>
      <c r="D529" s="118" t="s">
        <v>3684</v>
      </c>
      <c r="E529" s="247">
        <v>15132867</v>
      </c>
    </row>
    <row r="530" spans="2:5" x14ac:dyDescent="0.2">
      <c r="B530" s="247">
        <f t="shared" si="8"/>
        <v>526</v>
      </c>
      <c r="C530" s="118" t="s">
        <v>3520</v>
      </c>
      <c r="D530" s="118" t="s">
        <v>3684</v>
      </c>
      <c r="E530" s="247">
        <v>15130500</v>
      </c>
    </row>
    <row r="531" spans="2:5" x14ac:dyDescent="0.2">
      <c r="B531" s="247">
        <f t="shared" si="8"/>
        <v>527</v>
      </c>
      <c r="C531" s="118" t="s">
        <v>3521</v>
      </c>
      <c r="D531" s="118" t="s">
        <v>3684</v>
      </c>
      <c r="E531" s="247">
        <v>15130165</v>
      </c>
    </row>
    <row r="532" spans="2:5" x14ac:dyDescent="0.2">
      <c r="B532" s="247">
        <f t="shared" si="8"/>
        <v>528</v>
      </c>
      <c r="C532" s="118" t="s">
        <v>3522</v>
      </c>
      <c r="D532" s="118" t="s">
        <v>3684</v>
      </c>
      <c r="E532" s="247">
        <v>15120269</v>
      </c>
    </row>
    <row r="533" spans="2:5" x14ac:dyDescent="0.2">
      <c r="B533" s="247">
        <f t="shared" si="8"/>
        <v>529</v>
      </c>
      <c r="C533" s="118" t="s">
        <v>3523</v>
      </c>
      <c r="D533" s="118" t="s">
        <v>3684</v>
      </c>
      <c r="E533" s="247">
        <v>15115382</v>
      </c>
    </row>
    <row r="534" spans="2:5" x14ac:dyDescent="0.2">
      <c r="B534" s="247">
        <f t="shared" si="8"/>
        <v>530</v>
      </c>
      <c r="C534" s="118" t="s">
        <v>3524</v>
      </c>
      <c r="D534" s="118" t="s">
        <v>3684</v>
      </c>
      <c r="E534" s="247">
        <v>15115382</v>
      </c>
    </row>
    <row r="535" spans="2:5" x14ac:dyDescent="0.2">
      <c r="B535" s="247">
        <f t="shared" si="8"/>
        <v>531</v>
      </c>
      <c r="C535" s="118" t="s">
        <v>3525</v>
      </c>
      <c r="D535" s="118" t="s">
        <v>3684</v>
      </c>
      <c r="E535" s="247">
        <v>15090000</v>
      </c>
    </row>
    <row r="536" spans="2:5" x14ac:dyDescent="0.2">
      <c r="B536" s="247">
        <f t="shared" si="8"/>
        <v>532</v>
      </c>
      <c r="C536" s="118" t="s">
        <v>3526</v>
      </c>
      <c r="D536" s="118" t="s">
        <v>3684</v>
      </c>
      <c r="E536" s="247">
        <v>15088045</v>
      </c>
    </row>
    <row r="537" spans="2:5" x14ac:dyDescent="0.2">
      <c r="B537" s="247">
        <f t="shared" si="8"/>
        <v>533</v>
      </c>
      <c r="C537" s="118" t="s">
        <v>3527</v>
      </c>
      <c r="D537" s="118" t="s">
        <v>3684</v>
      </c>
      <c r="E537" s="247">
        <v>15069174</v>
      </c>
    </row>
    <row r="538" spans="2:5" x14ac:dyDescent="0.2">
      <c r="B538" s="247">
        <f t="shared" si="8"/>
        <v>534</v>
      </c>
      <c r="C538" s="118" t="s">
        <v>3528</v>
      </c>
      <c r="D538" s="118" t="s">
        <v>3684</v>
      </c>
      <c r="E538" s="247">
        <v>15012000</v>
      </c>
    </row>
    <row r="539" spans="2:5" x14ac:dyDescent="0.2">
      <c r="B539" s="247">
        <f t="shared" si="8"/>
        <v>535</v>
      </c>
      <c r="C539" s="118" t="s">
        <v>430</v>
      </c>
      <c r="D539" s="118" t="s">
        <v>3684</v>
      </c>
      <c r="E539" s="247">
        <v>15011613</v>
      </c>
    </row>
    <row r="540" spans="2:5" x14ac:dyDescent="0.2">
      <c r="B540" s="247">
        <f t="shared" si="8"/>
        <v>536</v>
      </c>
      <c r="C540" s="118" t="s">
        <v>3529</v>
      </c>
      <c r="D540" s="118" t="s">
        <v>3684</v>
      </c>
      <c r="E540" s="247">
        <v>15000000</v>
      </c>
    </row>
    <row r="541" spans="2:5" x14ac:dyDescent="0.2">
      <c r="B541" s="247">
        <f t="shared" si="8"/>
        <v>537</v>
      </c>
      <c r="C541" s="118" t="s">
        <v>431</v>
      </c>
      <c r="D541" s="118" t="s">
        <v>3684</v>
      </c>
      <c r="E541" s="247">
        <v>15000000</v>
      </c>
    </row>
    <row r="542" spans="2:5" x14ac:dyDescent="0.2">
      <c r="B542" s="247">
        <f t="shared" si="8"/>
        <v>538</v>
      </c>
      <c r="C542" s="118" t="s">
        <v>434</v>
      </c>
      <c r="D542" s="118" t="s">
        <v>3684</v>
      </c>
      <c r="E542" s="247">
        <v>15000000</v>
      </c>
    </row>
    <row r="543" spans="2:5" x14ac:dyDescent="0.2">
      <c r="B543" s="247">
        <f t="shared" si="8"/>
        <v>539</v>
      </c>
      <c r="C543" s="118" t="s">
        <v>3530</v>
      </c>
      <c r="D543" s="118" t="s">
        <v>3684</v>
      </c>
      <c r="E543" s="247">
        <v>15000000</v>
      </c>
    </row>
    <row r="544" spans="2:5" x14ac:dyDescent="0.2">
      <c r="B544" s="247">
        <f t="shared" si="8"/>
        <v>540</v>
      </c>
      <c r="C544" s="118" t="s">
        <v>432</v>
      </c>
      <c r="D544" s="118" t="s">
        <v>3684</v>
      </c>
      <c r="E544" s="247">
        <v>15000000</v>
      </c>
    </row>
    <row r="545" spans="2:5" x14ac:dyDescent="0.2">
      <c r="B545" s="247">
        <f t="shared" si="8"/>
        <v>541</v>
      </c>
      <c r="C545" s="118" t="s">
        <v>433</v>
      </c>
      <c r="D545" s="118" t="s">
        <v>3684</v>
      </c>
      <c r="E545" s="247">
        <v>15000000</v>
      </c>
    </row>
    <row r="546" spans="2:5" x14ac:dyDescent="0.2">
      <c r="B546" s="247">
        <f t="shared" si="8"/>
        <v>542</v>
      </c>
      <c r="C546" s="118" t="s">
        <v>666</v>
      </c>
      <c r="D546" s="118" t="s">
        <v>3689</v>
      </c>
      <c r="E546" s="247">
        <v>15000000</v>
      </c>
    </row>
    <row r="547" spans="2:5" x14ac:dyDescent="0.2">
      <c r="B547" s="247">
        <f t="shared" si="8"/>
        <v>543</v>
      </c>
      <c r="C547" s="118" t="s">
        <v>3531</v>
      </c>
      <c r="D547" s="118" t="s">
        <v>3684</v>
      </c>
      <c r="E547" s="247">
        <v>15000000</v>
      </c>
    </row>
    <row r="548" spans="2:5" x14ac:dyDescent="0.2">
      <c r="B548" s="247">
        <f t="shared" si="8"/>
        <v>544</v>
      </c>
      <c r="C548" s="118" t="s">
        <v>637</v>
      </c>
      <c r="D548" s="118" t="s">
        <v>3414</v>
      </c>
      <c r="E548" s="247">
        <v>15000000</v>
      </c>
    </row>
    <row r="549" spans="2:5" x14ac:dyDescent="0.2">
      <c r="B549" s="247">
        <f t="shared" si="8"/>
        <v>545</v>
      </c>
      <c r="C549" s="118" t="s">
        <v>3532</v>
      </c>
      <c r="D549" s="118" t="s">
        <v>3684</v>
      </c>
      <c r="E549" s="247">
        <v>14995000</v>
      </c>
    </row>
    <row r="550" spans="2:5" x14ac:dyDescent="0.2">
      <c r="B550" s="247">
        <f t="shared" si="8"/>
        <v>546</v>
      </c>
      <c r="C550" s="118" t="s">
        <v>3533</v>
      </c>
      <c r="D550" s="118" t="s">
        <v>3684</v>
      </c>
      <c r="E550" s="247">
        <v>14986431</v>
      </c>
    </row>
    <row r="551" spans="2:5" x14ac:dyDescent="0.2">
      <c r="B551" s="247">
        <f t="shared" si="8"/>
        <v>547</v>
      </c>
      <c r="C551" s="118" t="s">
        <v>3534</v>
      </c>
      <c r="D551" s="118" t="s">
        <v>3684</v>
      </c>
      <c r="E551" s="247">
        <v>14937000</v>
      </c>
    </row>
    <row r="552" spans="2:5" x14ac:dyDescent="0.2">
      <c r="B552" s="247">
        <f t="shared" si="8"/>
        <v>548</v>
      </c>
      <c r="C552" s="118" t="s">
        <v>3535</v>
      </c>
      <c r="D552" s="118" t="s">
        <v>3684</v>
      </c>
      <c r="E552" s="247">
        <v>14937000</v>
      </c>
    </row>
    <row r="553" spans="2:5" x14ac:dyDescent="0.2">
      <c r="B553" s="247">
        <f t="shared" si="8"/>
        <v>549</v>
      </c>
      <c r="C553" s="118" t="s">
        <v>3536</v>
      </c>
      <c r="D553" s="118" t="s">
        <v>3684</v>
      </c>
      <c r="E553" s="247">
        <v>14923806</v>
      </c>
    </row>
    <row r="554" spans="2:5" x14ac:dyDescent="0.2">
      <c r="B554" s="247">
        <f t="shared" si="8"/>
        <v>550</v>
      </c>
      <c r="C554" s="118" t="s">
        <v>3537</v>
      </c>
      <c r="D554" s="118" t="s">
        <v>3684</v>
      </c>
      <c r="E554" s="247">
        <v>14903741</v>
      </c>
    </row>
    <row r="555" spans="2:5" x14ac:dyDescent="0.2">
      <c r="B555" s="247">
        <f t="shared" si="8"/>
        <v>551</v>
      </c>
      <c r="C555" s="118" t="s">
        <v>435</v>
      </c>
      <c r="D555" s="118" t="s">
        <v>3684</v>
      </c>
      <c r="E555" s="247">
        <v>14903741</v>
      </c>
    </row>
    <row r="556" spans="2:5" x14ac:dyDescent="0.2">
      <c r="B556" s="247">
        <f t="shared" si="8"/>
        <v>552</v>
      </c>
      <c r="C556" s="118" t="s">
        <v>3538</v>
      </c>
      <c r="D556" s="118" t="s">
        <v>3684</v>
      </c>
      <c r="E556" s="247">
        <v>14850000</v>
      </c>
    </row>
    <row r="557" spans="2:5" x14ac:dyDescent="0.2">
      <c r="B557" s="247">
        <f t="shared" si="8"/>
        <v>553</v>
      </c>
      <c r="C557" s="118" t="s">
        <v>3539</v>
      </c>
      <c r="D557" s="118" t="s">
        <v>3684</v>
      </c>
      <c r="E557" s="247">
        <v>14835000</v>
      </c>
    </row>
    <row r="558" spans="2:5" x14ac:dyDescent="0.2">
      <c r="B558" s="247">
        <f t="shared" si="8"/>
        <v>554</v>
      </c>
      <c r="C558" s="118" t="s">
        <v>667</v>
      </c>
      <c r="D558" s="118" t="s">
        <v>3689</v>
      </c>
      <c r="E558" s="247">
        <v>14817952</v>
      </c>
    </row>
    <row r="559" spans="2:5" x14ac:dyDescent="0.2">
      <c r="B559" s="247">
        <f t="shared" si="8"/>
        <v>555</v>
      </c>
      <c r="C559" s="118" t="s">
        <v>436</v>
      </c>
      <c r="D559" s="118" t="s">
        <v>3684</v>
      </c>
      <c r="E559" s="247">
        <v>14817952</v>
      </c>
    </row>
    <row r="560" spans="2:5" x14ac:dyDescent="0.2">
      <c r="B560" s="247">
        <f t="shared" si="8"/>
        <v>556</v>
      </c>
      <c r="C560" s="118" t="s">
        <v>437</v>
      </c>
      <c r="D560" s="118" t="s">
        <v>3684</v>
      </c>
      <c r="E560" s="247">
        <v>14817952</v>
      </c>
    </row>
    <row r="561" spans="2:5" x14ac:dyDescent="0.2">
      <c r="B561" s="247">
        <f t="shared" si="8"/>
        <v>557</v>
      </c>
      <c r="C561" s="118" t="s">
        <v>3540</v>
      </c>
      <c r="D561" s="118" t="s">
        <v>3684</v>
      </c>
      <c r="E561" s="247">
        <v>14763181</v>
      </c>
    </row>
    <row r="562" spans="2:5" x14ac:dyDescent="0.2">
      <c r="B562" s="247">
        <f t="shared" si="8"/>
        <v>558</v>
      </c>
      <c r="C562" s="118" t="s">
        <v>3541</v>
      </c>
      <c r="D562" s="118" t="s">
        <v>3684</v>
      </c>
      <c r="E562" s="247">
        <v>14734723</v>
      </c>
    </row>
    <row r="563" spans="2:5" x14ac:dyDescent="0.2">
      <c r="B563" s="247">
        <f t="shared" si="8"/>
        <v>559</v>
      </c>
      <c r="C563" s="118" t="s">
        <v>3542</v>
      </c>
      <c r="D563" s="118" t="s">
        <v>3684</v>
      </c>
      <c r="E563" s="247">
        <v>14725254</v>
      </c>
    </row>
    <row r="564" spans="2:5" x14ac:dyDescent="0.2">
      <c r="B564" s="247">
        <f t="shared" si="8"/>
        <v>560</v>
      </c>
      <c r="C564" s="118" t="s">
        <v>3543</v>
      </c>
      <c r="D564" s="118" t="s">
        <v>3684</v>
      </c>
      <c r="E564" s="247">
        <v>14723469</v>
      </c>
    </row>
    <row r="565" spans="2:5" x14ac:dyDescent="0.2">
      <c r="B565" s="247">
        <f t="shared" si="8"/>
        <v>561</v>
      </c>
      <c r="C565" s="118" t="s">
        <v>3544</v>
      </c>
      <c r="D565" s="118" t="s">
        <v>3684</v>
      </c>
      <c r="E565" s="247">
        <v>14700138</v>
      </c>
    </row>
    <row r="566" spans="2:5" x14ac:dyDescent="0.2">
      <c r="B566" s="247">
        <f t="shared" si="8"/>
        <v>562</v>
      </c>
      <c r="C566" s="118" t="s">
        <v>3545</v>
      </c>
      <c r="D566" s="118" t="s">
        <v>3684</v>
      </c>
      <c r="E566" s="247">
        <v>14700138</v>
      </c>
    </row>
    <row r="567" spans="2:5" x14ac:dyDescent="0.2">
      <c r="B567" s="247">
        <f t="shared" si="8"/>
        <v>563</v>
      </c>
      <c r="C567" s="118" t="s">
        <v>3546</v>
      </c>
      <c r="D567" s="118" t="s">
        <v>3684</v>
      </c>
      <c r="E567" s="247">
        <v>14700000</v>
      </c>
    </row>
    <row r="568" spans="2:5" x14ac:dyDescent="0.2">
      <c r="B568" s="247">
        <f t="shared" si="8"/>
        <v>564</v>
      </c>
      <c r="C568" s="118" t="s">
        <v>3547</v>
      </c>
      <c r="D568" s="118" t="s">
        <v>3684</v>
      </c>
      <c r="E568" s="247">
        <v>14700000</v>
      </c>
    </row>
    <row r="569" spans="2:5" x14ac:dyDescent="0.2">
      <c r="B569" s="247">
        <f t="shared" si="8"/>
        <v>565</v>
      </c>
      <c r="C569" s="118" t="s">
        <v>3548</v>
      </c>
      <c r="D569" s="118" t="s">
        <v>3684</v>
      </c>
      <c r="E569" s="247">
        <v>14666892</v>
      </c>
    </row>
    <row r="570" spans="2:5" x14ac:dyDescent="0.2">
      <c r="B570" s="247">
        <f t="shared" si="8"/>
        <v>566</v>
      </c>
      <c r="C570" s="118" t="s">
        <v>3549</v>
      </c>
      <c r="D570" s="118" t="s">
        <v>3684</v>
      </c>
      <c r="E570" s="247">
        <v>14665029</v>
      </c>
    </row>
    <row r="571" spans="2:5" x14ac:dyDescent="0.2">
      <c r="B571" s="247">
        <f t="shared" si="8"/>
        <v>567</v>
      </c>
      <c r="C571" s="118" t="s">
        <v>3551</v>
      </c>
      <c r="D571" s="118" t="s">
        <v>3684</v>
      </c>
      <c r="E571" s="247">
        <v>14663569</v>
      </c>
    </row>
    <row r="572" spans="2:5" x14ac:dyDescent="0.2">
      <c r="B572" s="247">
        <f t="shared" si="8"/>
        <v>568</v>
      </c>
      <c r="C572" s="118" t="s">
        <v>3550</v>
      </c>
      <c r="D572" s="118" t="s">
        <v>3684</v>
      </c>
      <c r="E572" s="247">
        <v>14663569</v>
      </c>
    </row>
    <row r="573" spans="2:5" x14ac:dyDescent="0.2">
      <c r="B573" s="247">
        <f t="shared" si="8"/>
        <v>569</v>
      </c>
      <c r="C573" s="118" t="s">
        <v>3552</v>
      </c>
      <c r="D573" s="118" t="s">
        <v>3684</v>
      </c>
      <c r="E573" s="247">
        <v>14657939</v>
      </c>
    </row>
    <row r="574" spans="2:5" x14ac:dyDescent="0.2">
      <c r="B574" s="247">
        <f t="shared" si="8"/>
        <v>570</v>
      </c>
      <c r="C574" s="118" t="s">
        <v>3553</v>
      </c>
      <c r="D574" s="118" t="s">
        <v>3684</v>
      </c>
      <c r="E574" s="247">
        <v>14652915</v>
      </c>
    </row>
    <row r="575" spans="2:5" x14ac:dyDescent="0.2">
      <c r="B575" s="247">
        <f t="shared" si="8"/>
        <v>571</v>
      </c>
      <c r="C575" s="118" t="s">
        <v>3554</v>
      </c>
      <c r="D575" s="118" t="s">
        <v>3684</v>
      </c>
      <c r="E575" s="247">
        <v>14647809</v>
      </c>
    </row>
    <row r="576" spans="2:5" x14ac:dyDescent="0.2">
      <c r="B576" s="247">
        <f t="shared" si="8"/>
        <v>572</v>
      </c>
      <c r="C576" s="118" t="s">
        <v>3555</v>
      </c>
      <c r="D576" s="118" t="s">
        <v>3684</v>
      </c>
      <c r="E576" s="247">
        <v>14645000</v>
      </c>
    </row>
    <row r="577" spans="2:5" x14ac:dyDescent="0.2">
      <c r="B577" s="247">
        <f t="shared" si="8"/>
        <v>573</v>
      </c>
      <c r="C577" s="118" t="s">
        <v>3556</v>
      </c>
      <c r="D577" s="118" t="s">
        <v>3684</v>
      </c>
      <c r="E577" s="247">
        <v>14640000</v>
      </c>
    </row>
    <row r="578" spans="2:5" x14ac:dyDescent="0.2">
      <c r="B578" s="247">
        <f t="shared" si="8"/>
        <v>574</v>
      </c>
      <c r="C578" s="118" t="s">
        <v>3557</v>
      </c>
      <c r="D578" s="118" t="s">
        <v>3684</v>
      </c>
      <c r="E578" s="247">
        <v>14638209</v>
      </c>
    </row>
    <row r="579" spans="2:5" x14ac:dyDescent="0.2">
      <c r="B579" s="247">
        <f t="shared" si="8"/>
        <v>575</v>
      </c>
      <c r="C579" s="118" t="s">
        <v>3558</v>
      </c>
      <c r="D579" s="118" t="s">
        <v>3684</v>
      </c>
      <c r="E579" s="247">
        <v>14636885</v>
      </c>
    </row>
    <row r="580" spans="2:5" x14ac:dyDescent="0.2">
      <c r="B580" s="247">
        <f t="shared" si="8"/>
        <v>576</v>
      </c>
      <c r="C580" s="118" t="s">
        <v>3561</v>
      </c>
      <c r="D580" s="118" t="s">
        <v>3684</v>
      </c>
      <c r="E580" s="247">
        <v>14634790</v>
      </c>
    </row>
    <row r="581" spans="2:5" x14ac:dyDescent="0.2">
      <c r="B581" s="247">
        <f t="shared" si="8"/>
        <v>577</v>
      </c>
      <c r="C581" s="118" t="s">
        <v>3559</v>
      </c>
      <c r="D581" s="118" t="s">
        <v>3684</v>
      </c>
      <c r="E581" s="247">
        <v>14634790</v>
      </c>
    </row>
    <row r="582" spans="2:5" x14ac:dyDescent="0.2">
      <c r="B582" s="247">
        <f t="shared" ref="B582:B645" si="9">B581+1</f>
        <v>578</v>
      </c>
      <c r="C582" s="118" t="s">
        <v>3560</v>
      </c>
      <c r="D582" s="118" t="s">
        <v>3684</v>
      </c>
      <c r="E582" s="247">
        <v>14634790</v>
      </c>
    </row>
    <row r="583" spans="2:5" x14ac:dyDescent="0.2">
      <c r="B583" s="247">
        <f t="shared" si="9"/>
        <v>579</v>
      </c>
      <c r="C583" s="118" t="s">
        <v>3562</v>
      </c>
      <c r="D583" s="118" t="s">
        <v>3684</v>
      </c>
      <c r="E583" s="247">
        <v>14632964</v>
      </c>
    </row>
    <row r="584" spans="2:5" x14ac:dyDescent="0.2">
      <c r="B584" s="247">
        <f t="shared" si="9"/>
        <v>580</v>
      </c>
      <c r="C584" s="118" t="s">
        <v>3563</v>
      </c>
      <c r="D584" s="118" t="s">
        <v>3684</v>
      </c>
      <c r="E584" s="247">
        <v>14629500</v>
      </c>
    </row>
    <row r="585" spans="2:5" x14ac:dyDescent="0.2">
      <c r="B585" s="247">
        <f t="shared" si="9"/>
        <v>581</v>
      </c>
      <c r="C585" s="118" t="s">
        <v>3564</v>
      </c>
      <c r="D585" s="118" t="s">
        <v>3684</v>
      </c>
      <c r="E585" s="247">
        <v>14627727</v>
      </c>
    </row>
    <row r="586" spans="2:5" x14ac:dyDescent="0.2">
      <c r="B586" s="247">
        <f t="shared" si="9"/>
        <v>582</v>
      </c>
      <c r="C586" s="118" t="s">
        <v>3566</v>
      </c>
      <c r="D586" s="118" t="s">
        <v>3684</v>
      </c>
      <c r="E586" s="247">
        <v>14627275</v>
      </c>
    </row>
    <row r="587" spans="2:5" x14ac:dyDescent="0.2">
      <c r="B587" s="247">
        <f t="shared" si="9"/>
        <v>583</v>
      </c>
      <c r="C587" s="118" t="s">
        <v>3565</v>
      </c>
      <c r="D587" s="118" t="s">
        <v>3684</v>
      </c>
      <c r="E587" s="247">
        <v>14627275</v>
      </c>
    </row>
    <row r="588" spans="2:5" x14ac:dyDescent="0.2">
      <c r="B588" s="247">
        <f t="shared" si="9"/>
        <v>584</v>
      </c>
      <c r="C588" s="118" t="s">
        <v>421</v>
      </c>
      <c r="D588" s="118" t="s">
        <v>3684</v>
      </c>
      <c r="E588" s="247">
        <v>14624738</v>
      </c>
    </row>
    <row r="589" spans="2:5" x14ac:dyDescent="0.2">
      <c r="B589" s="247">
        <f t="shared" si="9"/>
        <v>585</v>
      </c>
      <c r="C589" s="118" t="s">
        <v>439</v>
      </c>
      <c r="D589" s="118" t="s">
        <v>3684</v>
      </c>
      <c r="E589" s="247">
        <v>14623486</v>
      </c>
    </row>
    <row r="590" spans="2:5" x14ac:dyDescent="0.2">
      <c r="B590" s="247">
        <f t="shared" si="9"/>
        <v>586</v>
      </c>
      <c r="C590" s="118" t="s">
        <v>3567</v>
      </c>
      <c r="D590" s="118" t="s">
        <v>3684</v>
      </c>
      <c r="E590" s="247">
        <v>14621581</v>
      </c>
    </row>
    <row r="591" spans="2:5" x14ac:dyDescent="0.2">
      <c r="B591" s="247">
        <f t="shared" si="9"/>
        <v>587</v>
      </c>
      <c r="C591" s="118" t="s">
        <v>3568</v>
      </c>
      <c r="D591" s="118" t="s">
        <v>3684</v>
      </c>
      <c r="E591" s="247">
        <v>14620000</v>
      </c>
    </row>
    <row r="592" spans="2:5" x14ac:dyDescent="0.2">
      <c r="B592" s="247">
        <f t="shared" si="9"/>
        <v>588</v>
      </c>
      <c r="C592" s="118" t="s">
        <v>3569</v>
      </c>
      <c r="D592" s="118" t="s">
        <v>3684</v>
      </c>
      <c r="E592" s="247">
        <v>14617625</v>
      </c>
    </row>
    <row r="593" spans="2:5" x14ac:dyDescent="0.2">
      <c r="B593" s="247">
        <f t="shared" si="9"/>
        <v>589</v>
      </c>
      <c r="C593" s="118" t="s">
        <v>3570</v>
      </c>
      <c r="D593" s="118" t="s">
        <v>3684</v>
      </c>
      <c r="E593" s="247">
        <v>14617500</v>
      </c>
    </row>
    <row r="594" spans="2:5" x14ac:dyDescent="0.2">
      <c r="B594" s="247">
        <f t="shared" si="9"/>
        <v>590</v>
      </c>
      <c r="C594" s="118" t="s">
        <v>3571</v>
      </c>
      <c r="D594" s="118" t="s">
        <v>3684</v>
      </c>
      <c r="E594" s="247">
        <v>14613000</v>
      </c>
    </row>
    <row r="595" spans="2:5" x14ac:dyDescent="0.2">
      <c r="B595" s="247">
        <f t="shared" si="9"/>
        <v>591</v>
      </c>
      <c r="C595" s="118" t="s">
        <v>3572</v>
      </c>
      <c r="D595" s="118" t="s">
        <v>3684</v>
      </c>
      <c r="E595" s="247">
        <v>14612219</v>
      </c>
    </row>
    <row r="596" spans="2:5" x14ac:dyDescent="0.2">
      <c r="B596" s="247">
        <f t="shared" si="9"/>
        <v>592</v>
      </c>
      <c r="C596" s="118" t="s">
        <v>3573</v>
      </c>
      <c r="D596" s="118" t="s">
        <v>3684</v>
      </c>
      <c r="E596" s="247">
        <v>14612210</v>
      </c>
    </row>
    <row r="597" spans="2:5" x14ac:dyDescent="0.2">
      <c r="B597" s="247">
        <f t="shared" si="9"/>
        <v>593</v>
      </c>
      <c r="C597" s="118" t="s">
        <v>3574</v>
      </c>
      <c r="D597" s="118" t="s">
        <v>3684</v>
      </c>
      <c r="E597" s="247">
        <v>14612000</v>
      </c>
    </row>
    <row r="598" spans="2:5" x14ac:dyDescent="0.2">
      <c r="B598" s="247">
        <f t="shared" si="9"/>
        <v>594</v>
      </c>
      <c r="C598" s="118" t="s">
        <v>3575</v>
      </c>
      <c r="D598" s="118" t="s">
        <v>3684</v>
      </c>
      <c r="E598" s="247">
        <v>14602500</v>
      </c>
    </row>
    <row r="599" spans="2:5" x14ac:dyDescent="0.2">
      <c r="B599" s="247">
        <f t="shared" si="9"/>
        <v>595</v>
      </c>
      <c r="C599" s="118" t="s">
        <v>3576</v>
      </c>
      <c r="D599" s="118" t="s">
        <v>3684</v>
      </c>
      <c r="E599" s="247">
        <v>14601211</v>
      </c>
    </row>
    <row r="600" spans="2:5" x14ac:dyDescent="0.2">
      <c r="B600" s="247">
        <f t="shared" si="9"/>
        <v>596</v>
      </c>
      <c r="C600" s="118" t="s">
        <v>3577</v>
      </c>
      <c r="D600" s="118" t="s">
        <v>3684</v>
      </c>
      <c r="E600" s="247">
        <v>14597461</v>
      </c>
    </row>
    <row r="601" spans="2:5" x14ac:dyDescent="0.2">
      <c r="B601" s="247">
        <f t="shared" si="9"/>
        <v>597</v>
      </c>
      <c r="C601" s="118" t="s">
        <v>3578</v>
      </c>
      <c r="D601" s="118" t="s">
        <v>3684</v>
      </c>
      <c r="E601" s="247">
        <v>14591972</v>
      </c>
    </row>
    <row r="602" spans="2:5" x14ac:dyDescent="0.2">
      <c r="B602" s="247">
        <f t="shared" si="9"/>
        <v>598</v>
      </c>
      <c r="C602" s="118" t="s">
        <v>3580</v>
      </c>
      <c r="D602" s="118" t="s">
        <v>3684</v>
      </c>
      <c r="E602" s="247">
        <v>14585000</v>
      </c>
    </row>
    <row r="603" spans="2:5" x14ac:dyDescent="0.2">
      <c r="B603" s="247">
        <f t="shared" si="9"/>
        <v>599</v>
      </c>
      <c r="C603" s="118" t="s">
        <v>3579</v>
      </c>
      <c r="D603" s="118" t="s">
        <v>3684</v>
      </c>
      <c r="E603" s="247">
        <v>14585000</v>
      </c>
    </row>
    <row r="604" spans="2:5" x14ac:dyDescent="0.2">
      <c r="B604" s="247">
        <f t="shared" si="9"/>
        <v>600</v>
      </c>
      <c r="C604" s="118" t="s">
        <v>3581</v>
      </c>
      <c r="D604" s="118" t="s">
        <v>3684</v>
      </c>
      <c r="E604" s="247">
        <v>14572854</v>
      </c>
    </row>
    <row r="605" spans="2:5" x14ac:dyDescent="0.2">
      <c r="B605" s="247">
        <f t="shared" si="9"/>
        <v>601</v>
      </c>
      <c r="C605" s="118" t="s">
        <v>3582</v>
      </c>
      <c r="D605" s="118" t="s">
        <v>3684</v>
      </c>
      <c r="E605" s="247">
        <v>14572000</v>
      </c>
    </row>
    <row r="606" spans="2:5" x14ac:dyDescent="0.2">
      <c r="B606" s="247">
        <f t="shared" si="9"/>
        <v>602</v>
      </c>
      <c r="C606" s="118" t="s">
        <v>3583</v>
      </c>
      <c r="D606" s="118" t="s">
        <v>3684</v>
      </c>
      <c r="E606" s="247">
        <v>14571000</v>
      </c>
    </row>
    <row r="607" spans="2:5" x14ac:dyDescent="0.2">
      <c r="B607" s="247">
        <f t="shared" si="9"/>
        <v>603</v>
      </c>
      <c r="C607" s="118" t="s">
        <v>3584</v>
      </c>
      <c r="D607" s="118" t="s">
        <v>3684</v>
      </c>
      <c r="E607" s="247">
        <v>14566500</v>
      </c>
    </row>
    <row r="608" spans="2:5" x14ac:dyDescent="0.2">
      <c r="B608" s="247">
        <f t="shared" si="9"/>
        <v>604</v>
      </c>
      <c r="C608" s="118" t="s">
        <v>3585</v>
      </c>
      <c r="D608" s="118" t="s">
        <v>3684</v>
      </c>
      <c r="E608" s="247">
        <v>14563893</v>
      </c>
    </row>
    <row r="609" spans="2:5" x14ac:dyDescent="0.2">
      <c r="B609" s="247">
        <f t="shared" si="9"/>
        <v>605</v>
      </c>
      <c r="C609" s="118" t="s">
        <v>3586</v>
      </c>
      <c r="D609" s="118" t="s">
        <v>3684</v>
      </c>
      <c r="E609" s="247">
        <v>14557425</v>
      </c>
    </row>
    <row r="610" spans="2:5" x14ac:dyDescent="0.2">
      <c r="B610" s="247">
        <f t="shared" si="9"/>
        <v>606</v>
      </c>
      <c r="C610" s="118" t="s">
        <v>3587</v>
      </c>
      <c r="D610" s="118" t="s">
        <v>3684</v>
      </c>
      <c r="E610" s="247">
        <v>14557196</v>
      </c>
    </row>
    <row r="611" spans="2:5" x14ac:dyDescent="0.2">
      <c r="B611" s="247">
        <f t="shared" si="9"/>
        <v>607</v>
      </c>
      <c r="C611" s="118" t="s">
        <v>3588</v>
      </c>
      <c r="D611" s="118" t="s">
        <v>3684</v>
      </c>
      <c r="E611" s="247">
        <v>14555000</v>
      </c>
    </row>
    <row r="612" spans="2:5" x14ac:dyDescent="0.2">
      <c r="B612" s="247">
        <f t="shared" si="9"/>
        <v>608</v>
      </c>
      <c r="C612" s="118" t="s">
        <v>3589</v>
      </c>
      <c r="D612" s="118" t="s">
        <v>3684</v>
      </c>
      <c r="E612" s="247">
        <v>14550055</v>
      </c>
    </row>
    <row r="613" spans="2:5" x14ac:dyDescent="0.2">
      <c r="B613" s="247">
        <f t="shared" si="9"/>
        <v>609</v>
      </c>
      <c r="C613" s="118" t="s">
        <v>3591</v>
      </c>
      <c r="D613" s="118" t="s">
        <v>3684</v>
      </c>
      <c r="E613" s="247">
        <v>14491089</v>
      </c>
    </row>
    <row r="614" spans="2:5" x14ac:dyDescent="0.2">
      <c r="B614" s="247">
        <f t="shared" si="9"/>
        <v>610</v>
      </c>
      <c r="C614" s="118" t="s">
        <v>3590</v>
      </c>
      <c r="D614" s="118" t="s">
        <v>3684</v>
      </c>
      <c r="E614" s="247">
        <v>14491089</v>
      </c>
    </row>
    <row r="615" spans="2:5" x14ac:dyDescent="0.2">
      <c r="B615" s="247">
        <f t="shared" si="9"/>
        <v>611</v>
      </c>
      <c r="C615" s="118" t="s">
        <v>3592</v>
      </c>
      <c r="D615" s="118" t="s">
        <v>3684</v>
      </c>
      <c r="E615" s="247">
        <v>14470500</v>
      </c>
    </row>
    <row r="616" spans="2:5" x14ac:dyDescent="0.2">
      <c r="B616" s="247">
        <f t="shared" si="9"/>
        <v>612</v>
      </c>
      <c r="C616" s="118" t="s">
        <v>3593</v>
      </c>
      <c r="D616" s="118" t="s">
        <v>3684</v>
      </c>
      <c r="E616" s="247">
        <v>14470319</v>
      </c>
    </row>
    <row r="617" spans="2:5" x14ac:dyDescent="0.2">
      <c r="B617" s="247">
        <f t="shared" si="9"/>
        <v>613</v>
      </c>
      <c r="C617" s="118" t="s">
        <v>3594</v>
      </c>
      <c r="D617" s="118" t="s">
        <v>3684</v>
      </c>
      <c r="E617" s="247">
        <v>14455000</v>
      </c>
    </row>
    <row r="618" spans="2:5" x14ac:dyDescent="0.2">
      <c r="B618" s="247">
        <f t="shared" si="9"/>
        <v>614</v>
      </c>
      <c r="C618" s="118" t="s">
        <v>3595</v>
      </c>
      <c r="D618" s="118" t="s">
        <v>3684</v>
      </c>
      <c r="E618" s="247">
        <v>14394528</v>
      </c>
    </row>
    <row r="619" spans="2:5" x14ac:dyDescent="0.2">
      <c r="B619" s="247">
        <f t="shared" si="9"/>
        <v>615</v>
      </c>
      <c r="C619" s="118" t="s">
        <v>3596</v>
      </c>
      <c r="D619" s="118" t="s">
        <v>3684</v>
      </c>
      <c r="E619" s="247">
        <v>14380000</v>
      </c>
    </row>
    <row r="620" spans="2:5" x14ac:dyDescent="0.2">
      <c r="B620" s="247">
        <f t="shared" si="9"/>
        <v>616</v>
      </c>
      <c r="C620" s="118" t="s">
        <v>3597</v>
      </c>
      <c r="D620" s="118" t="s">
        <v>3684</v>
      </c>
      <c r="E620" s="247">
        <v>14379000</v>
      </c>
    </row>
    <row r="621" spans="2:5" x14ac:dyDescent="0.2">
      <c r="B621" s="247">
        <f t="shared" si="9"/>
        <v>617</v>
      </c>
      <c r="C621" s="118" t="s">
        <v>3598</v>
      </c>
      <c r="D621" s="118" t="s">
        <v>3684</v>
      </c>
      <c r="E621" s="247">
        <v>14371500</v>
      </c>
    </row>
    <row r="622" spans="2:5" x14ac:dyDescent="0.2">
      <c r="B622" s="247">
        <f t="shared" si="9"/>
        <v>618</v>
      </c>
      <c r="C622" s="118" t="s">
        <v>3599</v>
      </c>
      <c r="D622" s="118" t="s">
        <v>3684</v>
      </c>
      <c r="E622" s="247">
        <v>14350000</v>
      </c>
    </row>
    <row r="623" spans="2:5" x14ac:dyDescent="0.2">
      <c r="B623" s="247">
        <f t="shared" si="9"/>
        <v>619</v>
      </c>
      <c r="C623" s="118" t="s">
        <v>3600</v>
      </c>
      <c r="D623" s="118" t="s">
        <v>3684</v>
      </c>
      <c r="E623" s="247">
        <v>14350000</v>
      </c>
    </row>
    <row r="624" spans="2:5" x14ac:dyDescent="0.2">
      <c r="B624" s="247">
        <f t="shared" si="9"/>
        <v>620</v>
      </c>
      <c r="C624" s="118" t="s">
        <v>3601</v>
      </c>
      <c r="D624" s="118" t="s">
        <v>3684</v>
      </c>
      <c r="E624" s="247">
        <v>14285289</v>
      </c>
    </row>
    <row r="625" spans="2:5" x14ac:dyDescent="0.2">
      <c r="B625" s="247">
        <f t="shared" si="9"/>
        <v>621</v>
      </c>
      <c r="C625" s="118" t="s">
        <v>3602</v>
      </c>
      <c r="D625" s="118" t="s">
        <v>3684</v>
      </c>
      <c r="E625" s="247">
        <v>14237407</v>
      </c>
    </row>
    <row r="626" spans="2:5" x14ac:dyDescent="0.2">
      <c r="B626" s="247">
        <f t="shared" si="9"/>
        <v>622</v>
      </c>
      <c r="C626" s="118" t="s">
        <v>3603</v>
      </c>
      <c r="D626" s="118" t="s">
        <v>3684</v>
      </c>
      <c r="E626" s="247">
        <v>14185281</v>
      </c>
    </row>
    <row r="627" spans="2:5" x14ac:dyDescent="0.2">
      <c r="B627" s="247">
        <f t="shared" si="9"/>
        <v>623</v>
      </c>
      <c r="C627" s="118" t="s">
        <v>3604</v>
      </c>
      <c r="D627" s="118" t="s">
        <v>3684</v>
      </c>
      <c r="E627" s="247">
        <v>14148844</v>
      </c>
    </row>
    <row r="628" spans="2:5" x14ac:dyDescent="0.2">
      <c r="B628" s="247">
        <f t="shared" si="9"/>
        <v>624</v>
      </c>
      <c r="C628" s="118" t="s">
        <v>3605</v>
      </c>
      <c r="D628" s="118" t="s">
        <v>3684</v>
      </c>
      <c r="E628" s="247">
        <v>14101500</v>
      </c>
    </row>
    <row r="629" spans="2:5" x14ac:dyDescent="0.2">
      <c r="B629" s="247">
        <f t="shared" si="9"/>
        <v>625</v>
      </c>
      <c r="C629" s="118" t="s">
        <v>3606</v>
      </c>
      <c r="D629" s="118" t="s">
        <v>3684</v>
      </c>
      <c r="E629" s="247">
        <v>14073900</v>
      </c>
    </row>
    <row r="630" spans="2:5" x14ac:dyDescent="0.2">
      <c r="B630" s="247">
        <f t="shared" si="9"/>
        <v>626</v>
      </c>
      <c r="C630" s="118" t="s">
        <v>442</v>
      </c>
      <c r="D630" s="118" t="s">
        <v>3684</v>
      </c>
      <c r="E630" s="247">
        <v>14073900</v>
      </c>
    </row>
    <row r="631" spans="2:5" x14ac:dyDescent="0.2">
      <c r="B631" s="247">
        <f t="shared" si="9"/>
        <v>627</v>
      </c>
      <c r="C631" s="118" t="s">
        <v>3607</v>
      </c>
      <c r="D631" s="118" t="s">
        <v>3684</v>
      </c>
      <c r="E631" s="247">
        <v>14000000</v>
      </c>
    </row>
    <row r="632" spans="2:5" x14ac:dyDescent="0.2">
      <c r="B632" s="247">
        <f t="shared" si="9"/>
        <v>628</v>
      </c>
      <c r="C632" s="118" t="s">
        <v>443</v>
      </c>
      <c r="D632" s="118" t="s">
        <v>3684</v>
      </c>
      <c r="E632" s="247">
        <v>13991927</v>
      </c>
    </row>
    <row r="633" spans="2:5" x14ac:dyDescent="0.2">
      <c r="B633" s="247">
        <f t="shared" si="9"/>
        <v>629</v>
      </c>
      <c r="C633" s="118" t="s">
        <v>459</v>
      </c>
      <c r="D633" s="118" t="s">
        <v>3684</v>
      </c>
      <c r="E633" s="247">
        <v>13971707</v>
      </c>
    </row>
    <row r="634" spans="2:5" x14ac:dyDescent="0.2">
      <c r="B634" s="247">
        <f t="shared" si="9"/>
        <v>630</v>
      </c>
      <c r="C634" s="118" t="s">
        <v>444</v>
      </c>
      <c r="D634" s="118" t="s">
        <v>3684</v>
      </c>
      <c r="E634" s="247">
        <v>13945582</v>
      </c>
    </row>
    <row r="635" spans="2:5" x14ac:dyDescent="0.2">
      <c r="B635" s="247">
        <f t="shared" si="9"/>
        <v>631</v>
      </c>
      <c r="C635" s="118" t="s">
        <v>3608</v>
      </c>
      <c r="D635" s="118" t="s">
        <v>3684</v>
      </c>
      <c r="E635" s="247">
        <v>13821088</v>
      </c>
    </row>
    <row r="636" spans="2:5" x14ac:dyDescent="0.2">
      <c r="B636" s="247">
        <f t="shared" si="9"/>
        <v>632</v>
      </c>
      <c r="C636" s="118" t="s">
        <v>445</v>
      </c>
      <c r="D636" s="118" t="s">
        <v>3684</v>
      </c>
      <c r="E636" s="247">
        <v>13821088</v>
      </c>
    </row>
    <row r="637" spans="2:5" x14ac:dyDescent="0.2">
      <c r="B637" s="247">
        <f t="shared" si="9"/>
        <v>633</v>
      </c>
      <c r="C637" s="118" t="s">
        <v>3609</v>
      </c>
      <c r="D637" s="118" t="s">
        <v>3684</v>
      </c>
      <c r="E637" s="247">
        <v>13821088</v>
      </c>
    </row>
    <row r="638" spans="2:5" x14ac:dyDescent="0.2">
      <c r="B638" s="247">
        <f t="shared" si="9"/>
        <v>634</v>
      </c>
      <c r="C638" s="118" t="s">
        <v>447</v>
      </c>
      <c r="D638" s="118" t="s">
        <v>3684</v>
      </c>
      <c r="E638" s="247">
        <v>13648500</v>
      </c>
    </row>
    <row r="639" spans="2:5" x14ac:dyDescent="0.2">
      <c r="B639" s="247">
        <f t="shared" si="9"/>
        <v>635</v>
      </c>
      <c r="C639" s="118" t="s">
        <v>450</v>
      </c>
      <c r="D639" s="118" t="s">
        <v>3684</v>
      </c>
      <c r="E639" s="247">
        <v>12808578</v>
      </c>
    </row>
    <row r="640" spans="2:5" x14ac:dyDescent="0.2">
      <c r="B640" s="247">
        <f t="shared" si="9"/>
        <v>636</v>
      </c>
      <c r="C640" s="118" t="s">
        <v>465</v>
      </c>
      <c r="D640" s="118" t="s">
        <v>3684</v>
      </c>
      <c r="E640" s="247">
        <v>12782099</v>
      </c>
    </row>
    <row r="641" spans="2:5" x14ac:dyDescent="0.2">
      <c r="B641" s="247">
        <f t="shared" si="9"/>
        <v>637</v>
      </c>
      <c r="C641" s="118" t="s">
        <v>451</v>
      </c>
      <c r="D641" s="118" t="s">
        <v>3684</v>
      </c>
      <c r="E641" s="247">
        <v>12554096</v>
      </c>
    </row>
    <row r="642" spans="2:5" x14ac:dyDescent="0.2">
      <c r="B642" s="247">
        <f t="shared" si="9"/>
        <v>638</v>
      </c>
      <c r="C642" s="118" t="s">
        <v>441</v>
      </c>
      <c r="D642" s="118" t="s">
        <v>3684</v>
      </c>
      <c r="E642" s="247">
        <v>12436123</v>
      </c>
    </row>
    <row r="643" spans="2:5" x14ac:dyDescent="0.2">
      <c r="B643" s="247">
        <f t="shared" si="9"/>
        <v>639</v>
      </c>
      <c r="C643" s="118" t="s">
        <v>413</v>
      </c>
      <c r="D643" s="118" t="s">
        <v>3684</v>
      </c>
      <c r="E643" s="247">
        <v>12349260</v>
      </c>
    </row>
    <row r="644" spans="2:5" x14ac:dyDescent="0.2">
      <c r="B644" s="247">
        <f t="shared" si="9"/>
        <v>640</v>
      </c>
      <c r="C644" s="118" t="s">
        <v>456</v>
      </c>
      <c r="D644" s="118" t="s">
        <v>3684</v>
      </c>
      <c r="E644" s="247">
        <v>11500000</v>
      </c>
    </row>
    <row r="645" spans="2:5" x14ac:dyDescent="0.2">
      <c r="B645" s="247">
        <f t="shared" si="9"/>
        <v>641</v>
      </c>
      <c r="C645" s="118" t="s">
        <v>458</v>
      </c>
      <c r="D645" s="118" t="s">
        <v>3684</v>
      </c>
      <c r="E645" s="247">
        <v>10800000</v>
      </c>
    </row>
    <row r="646" spans="2:5" x14ac:dyDescent="0.2">
      <c r="B646" s="247">
        <f t="shared" ref="B646:B709" si="10">B645+1</f>
        <v>642</v>
      </c>
      <c r="C646" s="118" t="s">
        <v>460</v>
      </c>
      <c r="D646" s="118" t="s">
        <v>3684</v>
      </c>
      <c r="E646" s="247">
        <v>10646000</v>
      </c>
    </row>
    <row r="647" spans="2:5" x14ac:dyDescent="0.2">
      <c r="B647" s="247">
        <f t="shared" si="10"/>
        <v>643</v>
      </c>
      <c r="C647" s="118" t="s">
        <v>3610</v>
      </c>
      <c r="D647" s="118" t="s">
        <v>3684</v>
      </c>
      <c r="E647" s="247">
        <v>10260294</v>
      </c>
    </row>
    <row r="648" spans="2:5" x14ac:dyDescent="0.2">
      <c r="B648" s="247">
        <f t="shared" si="10"/>
        <v>644</v>
      </c>
      <c r="C648" s="118" t="s">
        <v>461</v>
      </c>
      <c r="D648" s="118" t="s">
        <v>3684</v>
      </c>
      <c r="E648" s="247">
        <v>10000000</v>
      </c>
    </row>
    <row r="649" spans="2:5" x14ac:dyDescent="0.2">
      <c r="B649" s="247">
        <f t="shared" si="10"/>
        <v>645</v>
      </c>
      <c r="C649" s="118" t="s">
        <v>3611</v>
      </c>
      <c r="D649" s="118" t="s">
        <v>3684</v>
      </c>
      <c r="E649" s="247">
        <v>10000000</v>
      </c>
    </row>
    <row r="650" spans="2:5" x14ac:dyDescent="0.2">
      <c r="B650" s="247">
        <f t="shared" si="10"/>
        <v>646</v>
      </c>
      <c r="C650" s="118" t="s">
        <v>464</v>
      </c>
      <c r="D650" s="118" t="s">
        <v>3684</v>
      </c>
      <c r="E650" s="247">
        <v>10000000</v>
      </c>
    </row>
    <row r="651" spans="2:5" x14ac:dyDescent="0.2">
      <c r="B651" s="247">
        <f t="shared" si="10"/>
        <v>647</v>
      </c>
      <c r="C651" s="118" t="s">
        <v>463</v>
      </c>
      <c r="D651" s="118" t="s">
        <v>3684</v>
      </c>
      <c r="E651" s="247">
        <v>10000000</v>
      </c>
    </row>
    <row r="652" spans="2:5" x14ac:dyDescent="0.2">
      <c r="B652" s="247">
        <f t="shared" si="10"/>
        <v>648</v>
      </c>
      <c r="C652" s="118" t="s">
        <v>553</v>
      </c>
      <c r="D652" s="118" t="s">
        <v>3684</v>
      </c>
      <c r="E652" s="247">
        <v>10000000</v>
      </c>
    </row>
    <row r="653" spans="2:5" x14ac:dyDescent="0.2">
      <c r="B653" s="247">
        <f t="shared" si="10"/>
        <v>649</v>
      </c>
      <c r="C653" s="118" t="s">
        <v>462</v>
      </c>
      <c r="D653" s="118" t="s">
        <v>3684</v>
      </c>
      <c r="E653" s="247">
        <v>10000000</v>
      </c>
    </row>
    <row r="654" spans="2:5" x14ac:dyDescent="0.2">
      <c r="B654" s="247">
        <f t="shared" si="10"/>
        <v>650</v>
      </c>
      <c r="C654" s="118" t="s">
        <v>3612</v>
      </c>
      <c r="D654" s="118" t="s">
        <v>3684</v>
      </c>
      <c r="E654" s="247">
        <v>10000000</v>
      </c>
    </row>
    <row r="655" spans="2:5" x14ac:dyDescent="0.2">
      <c r="B655" s="247">
        <f t="shared" si="10"/>
        <v>651</v>
      </c>
      <c r="C655" s="118" t="s">
        <v>3613</v>
      </c>
      <c r="D655" s="118" t="s">
        <v>3684</v>
      </c>
      <c r="E655" s="247">
        <v>9889502</v>
      </c>
    </row>
    <row r="656" spans="2:5" x14ac:dyDescent="0.2">
      <c r="B656" s="247">
        <f t="shared" si="10"/>
        <v>652</v>
      </c>
      <c r="C656" s="118" t="s">
        <v>3614</v>
      </c>
      <c r="D656" s="118" t="s">
        <v>3684</v>
      </c>
      <c r="E656" s="247">
        <v>9820000</v>
      </c>
    </row>
    <row r="657" spans="2:5" x14ac:dyDescent="0.2">
      <c r="B657" s="247">
        <f t="shared" si="10"/>
        <v>653</v>
      </c>
      <c r="C657" s="118" t="s">
        <v>466</v>
      </c>
      <c r="D657" s="118" t="s">
        <v>3684</v>
      </c>
      <c r="E657" s="247">
        <v>9782400</v>
      </c>
    </row>
    <row r="658" spans="2:5" x14ac:dyDescent="0.2">
      <c r="B658" s="247">
        <f t="shared" si="10"/>
        <v>654</v>
      </c>
      <c r="C658" s="118" t="s">
        <v>3615</v>
      </c>
      <c r="D658" s="118" t="s">
        <v>3684</v>
      </c>
      <c r="E658" s="247">
        <v>9744818</v>
      </c>
    </row>
    <row r="659" spans="2:5" x14ac:dyDescent="0.2">
      <c r="B659" s="247">
        <f t="shared" si="10"/>
        <v>655</v>
      </c>
      <c r="C659" s="118" t="s">
        <v>3616</v>
      </c>
      <c r="D659" s="118" t="s">
        <v>3684</v>
      </c>
      <c r="E659" s="247">
        <v>9710000</v>
      </c>
    </row>
    <row r="660" spans="2:5" x14ac:dyDescent="0.2">
      <c r="B660" s="247">
        <f t="shared" si="10"/>
        <v>656</v>
      </c>
      <c r="C660" s="118" t="s">
        <v>474</v>
      </c>
      <c r="D660" s="118" t="s">
        <v>3684</v>
      </c>
      <c r="E660" s="247">
        <v>9678650</v>
      </c>
    </row>
    <row r="661" spans="2:5" x14ac:dyDescent="0.2">
      <c r="B661" s="247">
        <f t="shared" si="10"/>
        <v>657</v>
      </c>
      <c r="C661" s="118" t="s">
        <v>3617</v>
      </c>
      <c r="D661" s="118" t="s">
        <v>3684</v>
      </c>
      <c r="E661" s="247">
        <v>9627000</v>
      </c>
    </row>
    <row r="662" spans="2:5" x14ac:dyDescent="0.2">
      <c r="B662" s="247">
        <f t="shared" si="10"/>
        <v>658</v>
      </c>
      <c r="C662" s="118" t="s">
        <v>3618</v>
      </c>
      <c r="D662" s="118" t="s">
        <v>3684</v>
      </c>
      <c r="E662" s="247">
        <v>9442000</v>
      </c>
    </row>
    <row r="663" spans="2:5" x14ac:dyDescent="0.2">
      <c r="B663" s="247">
        <f t="shared" si="10"/>
        <v>659</v>
      </c>
      <c r="C663" s="118" t="s">
        <v>3619</v>
      </c>
      <c r="D663" s="118" t="s">
        <v>3684</v>
      </c>
      <c r="E663" s="247">
        <v>9322148</v>
      </c>
    </row>
    <row r="664" spans="2:5" x14ac:dyDescent="0.2">
      <c r="B664" s="247">
        <f t="shared" si="10"/>
        <v>660</v>
      </c>
      <c r="C664" s="118" t="s">
        <v>468</v>
      </c>
      <c r="D664" s="118" t="s">
        <v>3684</v>
      </c>
      <c r="E664" s="247">
        <v>9207860</v>
      </c>
    </row>
    <row r="665" spans="2:5" x14ac:dyDescent="0.2">
      <c r="B665" s="247">
        <f t="shared" si="10"/>
        <v>661</v>
      </c>
      <c r="C665" s="118" t="s">
        <v>469</v>
      </c>
      <c r="D665" s="118" t="s">
        <v>3684</v>
      </c>
      <c r="E665" s="247">
        <v>9162000</v>
      </c>
    </row>
    <row r="666" spans="2:5" x14ac:dyDescent="0.2">
      <c r="B666" s="247">
        <f t="shared" si="10"/>
        <v>662</v>
      </c>
      <c r="C666" s="118" t="s">
        <v>668</v>
      </c>
      <c r="D666" s="118" t="s">
        <v>3689</v>
      </c>
      <c r="E666" s="247">
        <v>9000000</v>
      </c>
    </row>
    <row r="667" spans="2:5" x14ac:dyDescent="0.2">
      <c r="B667" s="247">
        <f t="shared" si="10"/>
        <v>663</v>
      </c>
      <c r="C667" s="118" t="s">
        <v>470</v>
      </c>
      <c r="D667" s="118" t="s">
        <v>3684</v>
      </c>
      <c r="E667" s="247">
        <v>8855000</v>
      </c>
    </row>
    <row r="668" spans="2:5" x14ac:dyDescent="0.2">
      <c r="B668" s="247">
        <f t="shared" si="10"/>
        <v>664</v>
      </c>
      <c r="C668" s="118" t="s">
        <v>467</v>
      </c>
      <c r="D668" s="118" t="s">
        <v>3684</v>
      </c>
      <c r="E668" s="247">
        <v>8764000</v>
      </c>
    </row>
    <row r="669" spans="2:5" x14ac:dyDescent="0.2">
      <c r="B669" s="247">
        <f t="shared" si="10"/>
        <v>665</v>
      </c>
      <c r="C669" s="118" t="s">
        <v>471</v>
      </c>
      <c r="D669" s="118" t="s">
        <v>3684</v>
      </c>
      <c r="E669" s="247">
        <v>8337708</v>
      </c>
    </row>
    <row r="670" spans="2:5" x14ac:dyDescent="0.2">
      <c r="B670" s="247">
        <f t="shared" si="10"/>
        <v>666</v>
      </c>
      <c r="C670" s="118" t="s">
        <v>481</v>
      </c>
      <c r="D670" s="118" t="s">
        <v>3684</v>
      </c>
      <c r="E670" s="247">
        <v>7275142</v>
      </c>
    </row>
    <row r="671" spans="2:5" x14ac:dyDescent="0.2">
      <c r="B671" s="247">
        <f t="shared" si="10"/>
        <v>667</v>
      </c>
      <c r="C671" s="118" t="s">
        <v>475</v>
      </c>
      <c r="D671" s="118" t="s">
        <v>3684</v>
      </c>
      <c r="E671" s="247">
        <v>7051333.3099999996</v>
      </c>
    </row>
    <row r="672" spans="2:5" x14ac:dyDescent="0.2">
      <c r="B672" s="247">
        <f t="shared" si="10"/>
        <v>668</v>
      </c>
      <c r="C672" s="118" t="s">
        <v>3620</v>
      </c>
      <c r="D672" s="118" t="s">
        <v>3684</v>
      </c>
      <c r="E672" s="247">
        <v>7000000</v>
      </c>
    </row>
    <row r="673" spans="2:5" x14ac:dyDescent="0.2">
      <c r="B673" s="247">
        <f t="shared" si="10"/>
        <v>669</v>
      </c>
      <c r="C673" s="118" t="s">
        <v>482</v>
      </c>
      <c r="D673" s="118" t="s">
        <v>3684</v>
      </c>
      <c r="E673" s="247">
        <v>6972548</v>
      </c>
    </row>
    <row r="674" spans="2:5" x14ac:dyDescent="0.2">
      <c r="B674" s="247">
        <f t="shared" si="10"/>
        <v>670</v>
      </c>
      <c r="C674" s="118" t="s">
        <v>476</v>
      </c>
      <c r="D674" s="118" t="s">
        <v>3684</v>
      </c>
      <c r="E674" s="247">
        <v>6500000</v>
      </c>
    </row>
    <row r="675" spans="2:5" x14ac:dyDescent="0.2">
      <c r="B675" s="247">
        <f t="shared" si="10"/>
        <v>671</v>
      </c>
      <c r="C675" s="118" t="s">
        <v>3621</v>
      </c>
      <c r="D675" s="118" t="s">
        <v>3684</v>
      </c>
      <c r="E675" s="247">
        <v>6416460</v>
      </c>
    </row>
    <row r="676" spans="2:5" x14ac:dyDescent="0.2">
      <c r="B676" s="247">
        <f t="shared" si="10"/>
        <v>672</v>
      </c>
      <c r="C676" s="118" t="s">
        <v>3622</v>
      </c>
      <c r="D676" s="118" t="s">
        <v>3684</v>
      </c>
      <c r="E676" s="247">
        <v>6321233</v>
      </c>
    </row>
    <row r="677" spans="2:5" x14ac:dyDescent="0.2">
      <c r="B677" s="247">
        <f t="shared" si="10"/>
        <v>673</v>
      </c>
      <c r="C677" s="118" t="s">
        <v>477</v>
      </c>
      <c r="D677" s="118" t="s">
        <v>3684</v>
      </c>
      <c r="E677" s="247">
        <v>6277000</v>
      </c>
    </row>
    <row r="678" spans="2:5" x14ac:dyDescent="0.2">
      <c r="B678" s="247">
        <f t="shared" si="10"/>
        <v>674</v>
      </c>
      <c r="C678" s="118" t="s">
        <v>3623</v>
      </c>
      <c r="D678" s="118" t="s">
        <v>3684</v>
      </c>
      <c r="E678" s="247">
        <v>5807835</v>
      </c>
    </row>
    <row r="679" spans="2:5" x14ac:dyDescent="0.2">
      <c r="B679" s="247">
        <f t="shared" si="10"/>
        <v>675</v>
      </c>
      <c r="C679" s="118" t="s">
        <v>3624</v>
      </c>
      <c r="D679" s="118" t="s">
        <v>3684</v>
      </c>
      <c r="E679" s="247">
        <v>5780171</v>
      </c>
    </row>
    <row r="680" spans="2:5" x14ac:dyDescent="0.2">
      <c r="B680" s="247">
        <f t="shared" si="10"/>
        <v>676</v>
      </c>
      <c r="C680" s="118" t="s">
        <v>549</v>
      </c>
      <c r="D680" s="118" t="s">
        <v>3684</v>
      </c>
      <c r="E680" s="247">
        <v>5609259</v>
      </c>
    </row>
    <row r="681" spans="2:5" x14ac:dyDescent="0.2">
      <c r="B681" s="247">
        <f t="shared" si="10"/>
        <v>677</v>
      </c>
      <c r="C681" s="118" t="s">
        <v>483</v>
      </c>
      <c r="D681" s="118" t="s">
        <v>3684</v>
      </c>
      <c r="E681" s="247">
        <v>5359784</v>
      </c>
    </row>
    <row r="682" spans="2:5" x14ac:dyDescent="0.2">
      <c r="B682" s="247">
        <f t="shared" si="10"/>
        <v>678</v>
      </c>
      <c r="C682" s="118" t="s">
        <v>3625</v>
      </c>
      <c r="D682" s="118" t="s">
        <v>3684</v>
      </c>
      <c r="E682" s="247">
        <v>5267953</v>
      </c>
    </row>
    <row r="683" spans="2:5" x14ac:dyDescent="0.2">
      <c r="B683" s="247">
        <f t="shared" si="10"/>
        <v>679</v>
      </c>
      <c r="C683" s="118" t="s">
        <v>580</v>
      </c>
      <c r="D683" s="118" t="s">
        <v>3684</v>
      </c>
      <c r="E683" s="247">
        <v>5260000</v>
      </c>
    </row>
    <row r="684" spans="2:5" x14ac:dyDescent="0.2">
      <c r="B684" s="247">
        <f t="shared" si="10"/>
        <v>680</v>
      </c>
      <c r="C684" s="118" t="s">
        <v>670</v>
      </c>
      <c r="D684" s="118" t="s">
        <v>3689</v>
      </c>
      <c r="E684" s="247">
        <v>5100000</v>
      </c>
    </row>
    <row r="685" spans="2:5" x14ac:dyDescent="0.2">
      <c r="B685" s="247">
        <f t="shared" si="10"/>
        <v>681</v>
      </c>
      <c r="C685" s="118" t="s">
        <v>485</v>
      </c>
      <c r="D685" s="118" t="s">
        <v>3684</v>
      </c>
      <c r="E685" s="247">
        <v>5049600</v>
      </c>
    </row>
    <row r="686" spans="2:5" x14ac:dyDescent="0.2">
      <c r="B686" s="247">
        <f t="shared" si="10"/>
        <v>682</v>
      </c>
      <c r="C686" s="118" t="s">
        <v>3626</v>
      </c>
      <c r="D686" s="118" t="s">
        <v>3684</v>
      </c>
      <c r="E686" s="247">
        <v>5045440</v>
      </c>
    </row>
    <row r="687" spans="2:5" x14ac:dyDescent="0.2">
      <c r="B687" s="247">
        <f t="shared" si="10"/>
        <v>683</v>
      </c>
      <c r="C687" s="118" t="s">
        <v>3627</v>
      </c>
      <c r="D687" s="118" t="s">
        <v>3684</v>
      </c>
      <c r="E687" s="247">
        <v>5040478</v>
      </c>
    </row>
    <row r="688" spans="2:5" x14ac:dyDescent="0.2">
      <c r="B688" s="247">
        <f t="shared" si="10"/>
        <v>684</v>
      </c>
      <c r="C688" s="118" t="s">
        <v>3628</v>
      </c>
      <c r="D688" s="118" t="s">
        <v>3684</v>
      </c>
      <c r="E688" s="247">
        <v>5026213</v>
      </c>
    </row>
    <row r="689" spans="2:5" x14ac:dyDescent="0.2">
      <c r="B689" s="247">
        <f t="shared" si="10"/>
        <v>685</v>
      </c>
      <c r="C689" s="118" t="s">
        <v>488</v>
      </c>
      <c r="D689" s="118" t="s">
        <v>3684</v>
      </c>
      <c r="E689" s="247">
        <v>5000000</v>
      </c>
    </row>
    <row r="690" spans="2:5" x14ac:dyDescent="0.2">
      <c r="B690" s="247">
        <f t="shared" si="10"/>
        <v>686</v>
      </c>
      <c r="C690" s="118" t="s">
        <v>489</v>
      </c>
      <c r="D690" s="118" t="s">
        <v>3684</v>
      </c>
      <c r="E690" s="247">
        <v>5000000</v>
      </c>
    </row>
    <row r="691" spans="2:5" x14ac:dyDescent="0.2">
      <c r="B691" s="247">
        <f t="shared" si="10"/>
        <v>687</v>
      </c>
      <c r="C691" s="118" t="s">
        <v>490</v>
      </c>
      <c r="D691" s="118" t="s">
        <v>3684</v>
      </c>
      <c r="E691" s="247">
        <v>5000000</v>
      </c>
    </row>
    <row r="692" spans="2:5" x14ac:dyDescent="0.2">
      <c r="B692" s="247">
        <f t="shared" si="10"/>
        <v>688</v>
      </c>
      <c r="C692" s="118" t="s">
        <v>487</v>
      </c>
      <c r="D692" s="118" t="s">
        <v>3684</v>
      </c>
      <c r="E692" s="247">
        <v>5000000</v>
      </c>
    </row>
    <row r="693" spans="2:5" x14ac:dyDescent="0.2">
      <c r="B693" s="247">
        <f t="shared" si="10"/>
        <v>689</v>
      </c>
      <c r="C693" s="118" t="s">
        <v>3629</v>
      </c>
      <c r="D693" s="118" t="s">
        <v>3684</v>
      </c>
      <c r="E693" s="247">
        <v>5000000</v>
      </c>
    </row>
    <row r="694" spans="2:5" x14ac:dyDescent="0.2">
      <c r="B694" s="247">
        <f t="shared" si="10"/>
        <v>690</v>
      </c>
      <c r="C694" s="118" t="s">
        <v>530</v>
      </c>
      <c r="D694" s="118" t="s">
        <v>3684</v>
      </c>
      <c r="E694" s="247">
        <v>5000000</v>
      </c>
    </row>
    <row r="695" spans="2:5" x14ac:dyDescent="0.2">
      <c r="B695" s="247">
        <f t="shared" si="10"/>
        <v>691</v>
      </c>
      <c r="C695" s="118" t="s">
        <v>517</v>
      </c>
      <c r="D695" s="118" t="s">
        <v>3684</v>
      </c>
      <c r="E695" s="247">
        <v>5000000</v>
      </c>
    </row>
    <row r="696" spans="2:5" x14ac:dyDescent="0.2">
      <c r="B696" s="247">
        <f t="shared" si="10"/>
        <v>692</v>
      </c>
      <c r="C696" s="118" t="s">
        <v>503</v>
      </c>
      <c r="D696" s="118" t="s">
        <v>3684</v>
      </c>
      <c r="E696" s="247">
        <v>5000000</v>
      </c>
    </row>
    <row r="697" spans="2:5" x14ac:dyDescent="0.2">
      <c r="B697" s="247">
        <f t="shared" si="10"/>
        <v>693</v>
      </c>
      <c r="C697" s="118" t="s">
        <v>479</v>
      </c>
      <c r="D697" s="118" t="s">
        <v>3684</v>
      </c>
      <c r="E697" s="247">
        <v>5000000</v>
      </c>
    </row>
    <row r="698" spans="2:5" x14ac:dyDescent="0.2">
      <c r="B698" s="247">
        <f t="shared" si="10"/>
        <v>694</v>
      </c>
      <c r="C698" s="118" t="s">
        <v>478</v>
      </c>
      <c r="D698" s="118" t="s">
        <v>3684</v>
      </c>
      <c r="E698" s="247">
        <v>5000000</v>
      </c>
    </row>
    <row r="699" spans="2:5" x14ac:dyDescent="0.2">
      <c r="B699" s="247">
        <f t="shared" si="10"/>
        <v>695</v>
      </c>
      <c r="C699" s="118" t="s">
        <v>545</v>
      </c>
      <c r="D699" s="118" t="s">
        <v>3684</v>
      </c>
      <c r="E699" s="247">
        <v>5000000</v>
      </c>
    </row>
    <row r="700" spans="2:5" x14ac:dyDescent="0.2">
      <c r="B700" s="247">
        <f t="shared" si="10"/>
        <v>696</v>
      </c>
      <c r="C700" s="118" t="s">
        <v>516</v>
      </c>
      <c r="D700" s="118" t="s">
        <v>3684</v>
      </c>
      <c r="E700" s="247">
        <v>5000000</v>
      </c>
    </row>
    <row r="701" spans="2:5" x14ac:dyDescent="0.2">
      <c r="B701" s="247">
        <f t="shared" si="10"/>
        <v>697</v>
      </c>
      <c r="C701" s="118" t="s">
        <v>495</v>
      </c>
      <c r="D701" s="118" t="s">
        <v>3684</v>
      </c>
      <c r="E701" s="247">
        <v>5000000</v>
      </c>
    </row>
    <row r="702" spans="2:5" x14ac:dyDescent="0.2">
      <c r="B702" s="247">
        <f t="shared" si="10"/>
        <v>698</v>
      </c>
      <c r="C702" s="118" t="s">
        <v>538</v>
      </c>
      <c r="D702" s="118" t="s">
        <v>3684</v>
      </c>
      <c r="E702" s="247">
        <v>5000000</v>
      </c>
    </row>
    <row r="703" spans="2:5" x14ac:dyDescent="0.2">
      <c r="B703" s="247">
        <f t="shared" si="10"/>
        <v>699</v>
      </c>
      <c r="C703" s="118" t="s">
        <v>520</v>
      </c>
      <c r="D703" s="118" t="s">
        <v>3684</v>
      </c>
      <c r="E703" s="247">
        <v>5000000</v>
      </c>
    </row>
    <row r="704" spans="2:5" x14ac:dyDescent="0.2">
      <c r="B704" s="247">
        <f t="shared" si="10"/>
        <v>700</v>
      </c>
      <c r="C704" s="118" t="s">
        <v>514</v>
      </c>
      <c r="D704" s="118" t="s">
        <v>3684</v>
      </c>
      <c r="E704" s="247">
        <v>5000000</v>
      </c>
    </row>
    <row r="705" spans="2:5" x14ac:dyDescent="0.2">
      <c r="B705" s="247">
        <f t="shared" si="10"/>
        <v>701</v>
      </c>
      <c r="C705" s="118" t="s">
        <v>480</v>
      </c>
      <c r="D705" s="118" t="s">
        <v>3684</v>
      </c>
      <c r="E705" s="247">
        <v>5000000</v>
      </c>
    </row>
    <row r="706" spans="2:5" x14ac:dyDescent="0.2">
      <c r="B706" s="247">
        <f t="shared" si="10"/>
        <v>702</v>
      </c>
      <c r="C706" s="118" t="s">
        <v>486</v>
      </c>
      <c r="D706" s="118" t="s">
        <v>3684</v>
      </c>
      <c r="E706" s="247">
        <v>5000000</v>
      </c>
    </row>
    <row r="707" spans="2:5" x14ac:dyDescent="0.2">
      <c r="B707" s="247">
        <f t="shared" si="10"/>
        <v>703</v>
      </c>
      <c r="C707" s="118" t="s">
        <v>544</v>
      </c>
      <c r="D707" s="118" t="s">
        <v>3684</v>
      </c>
      <c r="E707" s="247">
        <v>5000000</v>
      </c>
    </row>
    <row r="708" spans="2:5" x14ac:dyDescent="0.2">
      <c r="B708" s="247">
        <f t="shared" si="10"/>
        <v>704</v>
      </c>
      <c r="C708" s="118" t="s">
        <v>519</v>
      </c>
      <c r="D708" s="118" t="s">
        <v>3684</v>
      </c>
      <c r="E708" s="247">
        <v>5000000</v>
      </c>
    </row>
    <row r="709" spans="2:5" x14ac:dyDescent="0.2">
      <c r="B709" s="247">
        <f t="shared" si="10"/>
        <v>705</v>
      </c>
      <c r="C709" s="118" t="s">
        <v>537</v>
      </c>
      <c r="D709" s="118" t="s">
        <v>3684</v>
      </c>
      <c r="E709" s="247">
        <v>5000000</v>
      </c>
    </row>
    <row r="710" spans="2:5" x14ac:dyDescent="0.2">
      <c r="B710" s="247">
        <f t="shared" ref="B710:B773" si="11">B709+1</f>
        <v>706</v>
      </c>
      <c r="C710" s="118" t="s">
        <v>669</v>
      </c>
      <c r="D710" s="118" t="s">
        <v>3689</v>
      </c>
      <c r="E710" s="247">
        <v>5000000</v>
      </c>
    </row>
    <row r="711" spans="2:5" x14ac:dyDescent="0.2">
      <c r="B711" s="247">
        <f t="shared" si="11"/>
        <v>707</v>
      </c>
      <c r="C711" s="118" t="s">
        <v>536</v>
      </c>
      <c r="D711" s="118" t="s">
        <v>3684</v>
      </c>
      <c r="E711" s="247">
        <v>5000000</v>
      </c>
    </row>
    <row r="712" spans="2:5" x14ac:dyDescent="0.2">
      <c r="B712" s="247">
        <f t="shared" si="11"/>
        <v>708</v>
      </c>
      <c r="C712" s="118" t="s">
        <v>510</v>
      </c>
      <c r="D712" s="118" t="s">
        <v>3684</v>
      </c>
      <c r="E712" s="247">
        <v>5000000</v>
      </c>
    </row>
    <row r="713" spans="2:5" x14ac:dyDescent="0.2">
      <c r="B713" s="247">
        <f t="shared" si="11"/>
        <v>709</v>
      </c>
      <c r="C713" s="118" t="s">
        <v>504</v>
      </c>
      <c r="D713" s="118" t="s">
        <v>3684</v>
      </c>
      <c r="E713" s="247">
        <v>5000000</v>
      </c>
    </row>
    <row r="714" spans="2:5" x14ac:dyDescent="0.2">
      <c r="B714" s="247">
        <f t="shared" si="11"/>
        <v>710</v>
      </c>
      <c r="C714" s="118" t="s">
        <v>539</v>
      </c>
      <c r="D714" s="118" t="s">
        <v>3684</v>
      </c>
      <c r="E714" s="247">
        <v>5000000</v>
      </c>
    </row>
    <row r="715" spans="2:5" x14ac:dyDescent="0.2">
      <c r="B715" s="247">
        <f t="shared" si="11"/>
        <v>711</v>
      </c>
      <c r="C715" s="118" t="s">
        <v>528</v>
      </c>
      <c r="D715" s="118" t="s">
        <v>3684</v>
      </c>
      <c r="E715" s="247">
        <v>5000000</v>
      </c>
    </row>
    <row r="716" spans="2:5" x14ac:dyDescent="0.2">
      <c r="B716" s="247">
        <f t="shared" si="11"/>
        <v>712</v>
      </c>
      <c r="C716" s="118" t="s">
        <v>509</v>
      </c>
      <c r="D716" s="118" t="s">
        <v>3684</v>
      </c>
      <c r="E716" s="247">
        <v>5000000</v>
      </c>
    </row>
    <row r="717" spans="2:5" x14ac:dyDescent="0.2">
      <c r="B717" s="247">
        <f t="shared" si="11"/>
        <v>713</v>
      </c>
      <c r="C717" s="118" t="s">
        <v>518</v>
      </c>
      <c r="D717" s="118" t="s">
        <v>3684</v>
      </c>
      <c r="E717" s="247">
        <v>5000000</v>
      </c>
    </row>
    <row r="718" spans="2:5" x14ac:dyDescent="0.2">
      <c r="B718" s="247">
        <f t="shared" si="11"/>
        <v>714</v>
      </c>
      <c r="C718" s="118" t="s">
        <v>534</v>
      </c>
      <c r="D718" s="118" t="s">
        <v>3684</v>
      </c>
      <c r="E718" s="247">
        <v>5000000</v>
      </c>
    </row>
    <row r="719" spans="2:5" x14ac:dyDescent="0.2">
      <c r="B719" s="247">
        <f t="shared" si="11"/>
        <v>715</v>
      </c>
      <c r="C719" s="118" t="s">
        <v>493</v>
      </c>
      <c r="D719" s="118" t="s">
        <v>3684</v>
      </c>
      <c r="E719" s="247">
        <v>5000000</v>
      </c>
    </row>
    <row r="720" spans="2:5" x14ac:dyDescent="0.2">
      <c r="B720" s="247">
        <f t="shared" si="11"/>
        <v>716</v>
      </c>
      <c r="C720" s="118" t="s">
        <v>508</v>
      </c>
      <c r="D720" s="118" t="s">
        <v>3684</v>
      </c>
      <c r="E720" s="247">
        <v>5000000</v>
      </c>
    </row>
    <row r="721" spans="2:5" x14ac:dyDescent="0.2">
      <c r="B721" s="247">
        <f t="shared" si="11"/>
        <v>717</v>
      </c>
      <c r="C721" s="118" t="s">
        <v>522</v>
      </c>
      <c r="D721" s="118" t="s">
        <v>3684</v>
      </c>
      <c r="E721" s="247">
        <v>5000000</v>
      </c>
    </row>
    <row r="722" spans="2:5" x14ac:dyDescent="0.2">
      <c r="B722" s="247">
        <f t="shared" si="11"/>
        <v>718</v>
      </c>
      <c r="C722" s="118" t="s">
        <v>500</v>
      </c>
      <c r="D722" s="118" t="s">
        <v>3684</v>
      </c>
      <c r="E722" s="247">
        <v>5000000</v>
      </c>
    </row>
    <row r="723" spans="2:5" x14ac:dyDescent="0.2">
      <c r="B723" s="247">
        <f t="shared" si="11"/>
        <v>719</v>
      </c>
      <c r="C723" s="118" t="s">
        <v>513</v>
      </c>
      <c r="D723" s="118" t="s">
        <v>3684</v>
      </c>
      <c r="E723" s="247">
        <v>5000000</v>
      </c>
    </row>
    <row r="724" spans="2:5" x14ac:dyDescent="0.2">
      <c r="B724" s="247">
        <f t="shared" si="11"/>
        <v>720</v>
      </c>
      <c r="C724" s="118" t="s">
        <v>546</v>
      </c>
      <c r="D724" s="118" t="s">
        <v>3684</v>
      </c>
      <c r="E724" s="247">
        <v>5000000</v>
      </c>
    </row>
    <row r="725" spans="2:5" x14ac:dyDescent="0.2">
      <c r="B725" s="247">
        <f t="shared" si="11"/>
        <v>721</v>
      </c>
      <c r="C725" s="118" t="s">
        <v>496</v>
      </c>
      <c r="D725" s="118" t="s">
        <v>3684</v>
      </c>
      <c r="E725" s="247">
        <v>5000000</v>
      </c>
    </row>
    <row r="726" spans="2:5" x14ac:dyDescent="0.2">
      <c r="B726" s="247">
        <f t="shared" si="11"/>
        <v>722</v>
      </c>
      <c r="C726" s="118" t="s">
        <v>542</v>
      </c>
      <c r="D726" s="118" t="s">
        <v>3684</v>
      </c>
      <c r="E726" s="247">
        <v>5000000</v>
      </c>
    </row>
    <row r="727" spans="2:5" x14ac:dyDescent="0.2">
      <c r="B727" s="247">
        <f t="shared" si="11"/>
        <v>723</v>
      </c>
      <c r="C727" s="118" t="s">
        <v>529</v>
      </c>
      <c r="D727" s="118" t="s">
        <v>3684</v>
      </c>
      <c r="E727" s="247">
        <v>5000000</v>
      </c>
    </row>
    <row r="728" spans="2:5" x14ac:dyDescent="0.2">
      <c r="B728" s="247">
        <f t="shared" si="11"/>
        <v>724</v>
      </c>
      <c r="C728" s="118" t="s">
        <v>543</v>
      </c>
      <c r="D728" s="118" t="s">
        <v>3684</v>
      </c>
      <c r="E728" s="247">
        <v>5000000</v>
      </c>
    </row>
    <row r="729" spans="2:5" x14ac:dyDescent="0.2">
      <c r="B729" s="247">
        <f t="shared" si="11"/>
        <v>725</v>
      </c>
      <c r="C729" s="118" t="s">
        <v>532</v>
      </c>
      <c r="D729" s="118" t="s">
        <v>3684</v>
      </c>
      <c r="E729" s="247">
        <v>5000000</v>
      </c>
    </row>
    <row r="730" spans="2:5" x14ac:dyDescent="0.2">
      <c r="B730" s="247">
        <f t="shared" si="11"/>
        <v>726</v>
      </c>
      <c r="C730" s="118" t="s">
        <v>499</v>
      </c>
      <c r="D730" s="118" t="s">
        <v>3684</v>
      </c>
      <c r="E730" s="247">
        <v>5000000</v>
      </c>
    </row>
    <row r="731" spans="2:5" x14ac:dyDescent="0.2">
      <c r="B731" s="247">
        <f t="shared" si="11"/>
        <v>727</v>
      </c>
      <c r="C731" s="118" t="s">
        <v>533</v>
      </c>
      <c r="D731" s="118" t="s">
        <v>3684</v>
      </c>
      <c r="E731" s="247">
        <v>5000000</v>
      </c>
    </row>
    <row r="732" spans="2:5" x14ac:dyDescent="0.2">
      <c r="B732" s="247">
        <f t="shared" si="11"/>
        <v>728</v>
      </c>
      <c r="C732" s="118" t="s">
        <v>521</v>
      </c>
      <c r="D732" s="118" t="s">
        <v>3684</v>
      </c>
      <c r="E732" s="247">
        <v>5000000</v>
      </c>
    </row>
    <row r="733" spans="2:5" x14ac:dyDescent="0.2">
      <c r="B733" s="247">
        <f t="shared" si="11"/>
        <v>729</v>
      </c>
      <c r="C733" s="118" t="s">
        <v>515</v>
      </c>
      <c r="D733" s="118" t="s">
        <v>3684</v>
      </c>
      <c r="E733" s="247">
        <v>5000000</v>
      </c>
    </row>
    <row r="734" spans="2:5" x14ac:dyDescent="0.2">
      <c r="B734" s="247">
        <f t="shared" si="11"/>
        <v>730</v>
      </c>
      <c r="C734" s="118" t="s">
        <v>505</v>
      </c>
      <c r="D734" s="118" t="s">
        <v>3684</v>
      </c>
      <c r="E734" s="247">
        <v>5000000</v>
      </c>
    </row>
    <row r="735" spans="2:5" x14ac:dyDescent="0.2">
      <c r="B735" s="247">
        <f t="shared" si="11"/>
        <v>731</v>
      </c>
      <c r="C735" s="118" t="s">
        <v>506</v>
      </c>
      <c r="D735" s="118" t="s">
        <v>3684</v>
      </c>
      <c r="E735" s="247">
        <v>5000000</v>
      </c>
    </row>
    <row r="736" spans="2:5" x14ac:dyDescent="0.2">
      <c r="B736" s="247">
        <f t="shared" si="11"/>
        <v>732</v>
      </c>
      <c r="C736" s="118" t="s">
        <v>523</v>
      </c>
      <c r="D736" s="118" t="s">
        <v>3684</v>
      </c>
      <c r="E736" s="247">
        <v>5000000</v>
      </c>
    </row>
    <row r="737" spans="2:5" x14ac:dyDescent="0.2">
      <c r="B737" s="247">
        <f t="shared" si="11"/>
        <v>733</v>
      </c>
      <c r="C737" s="118" t="s">
        <v>492</v>
      </c>
      <c r="D737" s="118" t="s">
        <v>3684</v>
      </c>
      <c r="E737" s="247">
        <v>5000000</v>
      </c>
    </row>
    <row r="738" spans="2:5" x14ac:dyDescent="0.2">
      <c r="B738" s="247">
        <f t="shared" si="11"/>
        <v>734</v>
      </c>
      <c r="C738" s="118" t="s">
        <v>497</v>
      </c>
      <c r="D738" s="118" t="s">
        <v>3684</v>
      </c>
      <c r="E738" s="247">
        <v>5000000</v>
      </c>
    </row>
    <row r="739" spans="2:5" x14ac:dyDescent="0.2">
      <c r="B739" s="247">
        <f t="shared" si="11"/>
        <v>735</v>
      </c>
      <c r="C739" s="118" t="s">
        <v>527</v>
      </c>
      <c r="D739" s="118" t="s">
        <v>3684</v>
      </c>
      <c r="E739" s="247">
        <v>5000000</v>
      </c>
    </row>
    <row r="740" spans="2:5" x14ac:dyDescent="0.2">
      <c r="B740" s="247">
        <f t="shared" si="11"/>
        <v>736</v>
      </c>
      <c r="C740" s="118" t="s">
        <v>525</v>
      </c>
      <c r="D740" s="118" t="s">
        <v>3684</v>
      </c>
      <c r="E740" s="247">
        <v>5000000</v>
      </c>
    </row>
    <row r="741" spans="2:5" x14ac:dyDescent="0.2">
      <c r="B741" s="247">
        <f t="shared" si="11"/>
        <v>737</v>
      </c>
      <c r="C741" s="118" t="s">
        <v>541</v>
      </c>
      <c r="D741" s="118" t="s">
        <v>3684</v>
      </c>
      <c r="E741" s="247">
        <v>5000000</v>
      </c>
    </row>
    <row r="742" spans="2:5" x14ac:dyDescent="0.2">
      <c r="B742" s="247">
        <f t="shared" si="11"/>
        <v>738</v>
      </c>
      <c r="C742" s="118" t="s">
        <v>512</v>
      </c>
      <c r="D742" s="118" t="s">
        <v>3684</v>
      </c>
      <c r="E742" s="247">
        <v>5000000</v>
      </c>
    </row>
    <row r="743" spans="2:5" x14ac:dyDescent="0.2">
      <c r="B743" s="247">
        <f t="shared" si="11"/>
        <v>739</v>
      </c>
      <c r="C743" s="118" t="s">
        <v>3630</v>
      </c>
      <c r="D743" s="118" t="s">
        <v>3684</v>
      </c>
      <c r="E743" s="247">
        <v>5000000</v>
      </c>
    </row>
    <row r="744" spans="2:5" x14ac:dyDescent="0.2">
      <c r="B744" s="247">
        <f t="shared" si="11"/>
        <v>740</v>
      </c>
      <c r="C744" s="118" t="s">
        <v>491</v>
      </c>
      <c r="D744" s="118" t="s">
        <v>3684</v>
      </c>
      <c r="E744" s="247">
        <v>5000000</v>
      </c>
    </row>
    <row r="745" spans="2:5" x14ac:dyDescent="0.2">
      <c r="B745" s="247">
        <f t="shared" si="11"/>
        <v>741</v>
      </c>
      <c r="C745" s="118" t="s">
        <v>511</v>
      </c>
      <c r="D745" s="118" t="s">
        <v>3684</v>
      </c>
      <c r="E745" s="247">
        <v>5000000</v>
      </c>
    </row>
    <row r="746" spans="2:5" x14ac:dyDescent="0.2">
      <c r="B746" s="247">
        <f t="shared" si="11"/>
        <v>742</v>
      </c>
      <c r="C746" s="118" t="s">
        <v>502</v>
      </c>
      <c r="D746" s="118" t="s">
        <v>3684</v>
      </c>
      <c r="E746" s="247">
        <v>5000000</v>
      </c>
    </row>
    <row r="747" spans="2:5" x14ac:dyDescent="0.2">
      <c r="B747" s="247">
        <f t="shared" si="11"/>
        <v>743</v>
      </c>
      <c r="C747" s="118" t="s">
        <v>498</v>
      </c>
      <c r="D747" s="118" t="s">
        <v>3684</v>
      </c>
      <c r="E747" s="247">
        <v>5000000</v>
      </c>
    </row>
    <row r="748" spans="2:5" x14ac:dyDescent="0.2">
      <c r="B748" s="247">
        <f t="shared" si="11"/>
        <v>744</v>
      </c>
      <c r="C748" s="118" t="s">
        <v>526</v>
      </c>
      <c r="D748" s="118" t="s">
        <v>3684</v>
      </c>
      <c r="E748" s="247">
        <v>5000000</v>
      </c>
    </row>
    <row r="749" spans="2:5" x14ac:dyDescent="0.2">
      <c r="B749" s="247">
        <f t="shared" si="11"/>
        <v>745</v>
      </c>
      <c r="C749" s="118" t="s">
        <v>501</v>
      </c>
      <c r="D749" s="118" t="s">
        <v>3684</v>
      </c>
      <c r="E749" s="247">
        <v>5000000</v>
      </c>
    </row>
    <row r="750" spans="2:5" x14ac:dyDescent="0.2">
      <c r="B750" s="247">
        <f t="shared" si="11"/>
        <v>746</v>
      </c>
      <c r="C750" s="118" t="s">
        <v>494</v>
      </c>
      <c r="D750" s="118" t="s">
        <v>3684</v>
      </c>
      <c r="E750" s="247">
        <v>5000000</v>
      </c>
    </row>
    <row r="751" spans="2:5" x14ac:dyDescent="0.2">
      <c r="B751" s="247">
        <f t="shared" si="11"/>
        <v>747</v>
      </c>
      <c r="C751" s="118" t="s">
        <v>535</v>
      </c>
      <c r="D751" s="118" t="s">
        <v>3684</v>
      </c>
      <c r="E751" s="247">
        <v>5000000</v>
      </c>
    </row>
    <row r="752" spans="2:5" x14ac:dyDescent="0.2">
      <c r="B752" s="247">
        <f t="shared" si="11"/>
        <v>748</v>
      </c>
      <c r="C752" s="118" t="s">
        <v>507</v>
      </c>
      <c r="D752" s="118" t="s">
        <v>3684</v>
      </c>
      <c r="E752" s="247">
        <v>5000000</v>
      </c>
    </row>
    <row r="753" spans="2:5" x14ac:dyDescent="0.2">
      <c r="B753" s="247">
        <f t="shared" si="11"/>
        <v>749</v>
      </c>
      <c r="C753" s="118" t="s">
        <v>540</v>
      </c>
      <c r="D753" s="118" t="s">
        <v>3684</v>
      </c>
      <c r="E753" s="247">
        <v>5000000</v>
      </c>
    </row>
    <row r="754" spans="2:5" x14ac:dyDescent="0.2">
      <c r="B754" s="247">
        <f t="shared" si="11"/>
        <v>750</v>
      </c>
      <c r="C754" s="118" t="s">
        <v>524</v>
      </c>
      <c r="D754" s="118" t="s">
        <v>3684</v>
      </c>
      <c r="E754" s="247">
        <v>5000000</v>
      </c>
    </row>
    <row r="755" spans="2:5" x14ac:dyDescent="0.2">
      <c r="B755" s="247">
        <f t="shared" si="11"/>
        <v>751</v>
      </c>
      <c r="C755" s="118" t="s">
        <v>531</v>
      </c>
      <c r="D755" s="118" t="s">
        <v>3684</v>
      </c>
      <c r="E755" s="247">
        <v>5000000</v>
      </c>
    </row>
    <row r="756" spans="2:5" x14ac:dyDescent="0.2">
      <c r="B756" s="247">
        <f t="shared" si="11"/>
        <v>752</v>
      </c>
      <c r="C756" s="118" t="s">
        <v>3631</v>
      </c>
      <c r="D756" s="118" t="s">
        <v>3684</v>
      </c>
      <c r="E756" s="247">
        <v>4968000</v>
      </c>
    </row>
    <row r="757" spans="2:5" x14ac:dyDescent="0.2">
      <c r="B757" s="247">
        <f t="shared" si="11"/>
        <v>753</v>
      </c>
      <c r="C757" s="118" t="s">
        <v>3632</v>
      </c>
      <c r="D757" s="118" t="s">
        <v>3684</v>
      </c>
      <c r="E757" s="247">
        <v>4926790</v>
      </c>
    </row>
    <row r="758" spans="2:5" x14ac:dyDescent="0.2">
      <c r="B758" s="247">
        <f t="shared" si="11"/>
        <v>754</v>
      </c>
      <c r="C758" s="118" t="s">
        <v>3633</v>
      </c>
      <c r="D758" s="118" t="s">
        <v>3684</v>
      </c>
      <c r="E758" s="247">
        <v>4885430</v>
      </c>
    </row>
    <row r="759" spans="2:5" x14ac:dyDescent="0.2">
      <c r="B759" s="247">
        <f t="shared" si="11"/>
        <v>755</v>
      </c>
      <c r="C759" s="118" t="s">
        <v>3634</v>
      </c>
      <c r="D759" s="118" t="s">
        <v>3684</v>
      </c>
      <c r="E759" s="247">
        <v>4878264</v>
      </c>
    </row>
    <row r="760" spans="2:5" x14ac:dyDescent="0.2">
      <c r="B760" s="247">
        <f t="shared" si="11"/>
        <v>756</v>
      </c>
      <c r="C760" s="118" t="s">
        <v>3635</v>
      </c>
      <c r="D760" s="118" t="s">
        <v>3684</v>
      </c>
      <c r="E760" s="247">
        <v>4878263</v>
      </c>
    </row>
    <row r="761" spans="2:5" x14ac:dyDescent="0.2">
      <c r="B761" s="247">
        <f t="shared" si="11"/>
        <v>757</v>
      </c>
      <c r="C761" s="118" t="s">
        <v>3636</v>
      </c>
      <c r="D761" s="118" t="s">
        <v>3684</v>
      </c>
      <c r="E761" s="247">
        <v>4872500</v>
      </c>
    </row>
    <row r="762" spans="2:5" x14ac:dyDescent="0.2">
      <c r="B762" s="247">
        <f t="shared" si="11"/>
        <v>758</v>
      </c>
      <c r="C762" s="118" t="s">
        <v>3637</v>
      </c>
      <c r="D762" s="118" t="s">
        <v>3684</v>
      </c>
      <c r="E762" s="247">
        <v>4860696</v>
      </c>
    </row>
    <row r="763" spans="2:5" x14ac:dyDescent="0.2">
      <c r="B763" s="247">
        <f t="shared" si="11"/>
        <v>759</v>
      </c>
      <c r="C763" s="118" t="s">
        <v>3638</v>
      </c>
      <c r="D763" s="118" t="s">
        <v>3684</v>
      </c>
      <c r="E763" s="247">
        <v>4855982</v>
      </c>
    </row>
    <row r="764" spans="2:5" x14ac:dyDescent="0.2">
      <c r="B764" s="247">
        <f t="shared" si="11"/>
        <v>760</v>
      </c>
      <c r="C764" s="118" t="s">
        <v>3639</v>
      </c>
      <c r="D764" s="118" t="s">
        <v>3684</v>
      </c>
      <c r="E764" s="247">
        <v>4853877</v>
      </c>
    </row>
    <row r="765" spans="2:5" x14ac:dyDescent="0.2">
      <c r="B765" s="247">
        <f t="shared" si="11"/>
        <v>761</v>
      </c>
      <c r="C765" s="118" t="s">
        <v>3640</v>
      </c>
      <c r="D765" s="118" t="s">
        <v>3684</v>
      </c>
      <c r="E765" s="247">
        <v>4850000</v>
      </c>
    </row>
    <row r="766" spans="2:5" x14ac:dyDescent="0.2">
      <c r="B766" s="247">
        <f t="shared" si="11"/>
        <v>762</v>
      </c>
      <c r="C766" s="118" t="s">
        <v>3641</v>
      </c>
      <c r="D766" s="118" t="s">
        <v>3684</v>
      </c>
      <c r="E766" s="247">
        <v>4830363</v>
      </c>
    </row>
    <row r="767" spans="2:5" x14ac:dyDescent="0.2">
      <c r="B767" s="247">
        <f t="shared" si="11"/>
        <v>763</v>
      </c>
      <c r="C767" s="118" t="s">
        <v>3642</v>
      </c>
      <c r="D767" s="118" t="s">
        <v>3684</v>
      </c>
      <c r="E767" s="247">
        <v>4806615</v>
      </c>
    </row>
    <row r="768" spans="2:5" x14ac:dyDescent="0.2">
      <c r="B768" s="247">
        <f t="shared" si="11"/>
        <v>764</v>
      </c>
      <c r="C768" s="118" t="s">
        <v>3643</v>
      </c>
      <c r="D768" s="118" t="s">
        <v>3684</v>
      </c>
      <c r="E768" s="247">
        <v>4775000</v>
      </c>
    </row>
    <row r="769" spans="2:5" x14ac:dyDescent="0.2">
      <c r="B769" s="247">
        <f t="shared" si="11"/>
        <v>765</v>
      </c>
      <c r="C769" s="118" t="s">
        <v>3644</v>
      </c>
      <c r="D769" s="118" t="s">
        <v>3684</v>
      </c>
      <c r="E769" s="247">
        <v>4745731</v>
      </c>
    </row>
    <row r="770" spans="2:5" x14ac:dyDescent="0.2">
      <c r="B770" s="247">
        <f t="shared" si="11"/>
        <v>766</v>
      </c>
      <c r="C770" s="118" t="s">
        <v>3645</v>
      </c>
      <c r="D770" s="118" t="s">
        <v>3684</v>
      </c>
      <c r="E770" s="247">
        <v>4716282</v>
      </c>
    </row>
    <row r="771" spans="2:5" x14ac:dyDescent="0.2">
      <c r="B771" s="247">
        <f t="shared" si="11"/>
        <v>767</v>
      </c>
      <c r="C771" s="118" t="s">
        <v>3646</v>
      </c>
      <c r="D771" s="118" t="s">
        <v>3684</v>
      </c>
      <c r="E771" s="247">
        <v>4677700</v>
      </c>
    </row>
    <row r="772" spans="2:5" x14ac:dyDescent="0.2">
      <c r="B772" s="247">
        <f t="shared" si="11"/>
        <v>768</v>
      </c>
      <c r="C772" s="118" t="s">
        <v>3647</v>
      </c>
      <c r="D772" s="118" t="s">
        <v>3684</v>
      </c>
      <c r="E772" s="247">
        <v>4655698</v>
      </c>
    </row>
    <row r="773" spans="2:5" x14ac:dyDescent="0.2">
      <c r="B773" s="247">
        <f t="shared" si="11"/>
        <v>769</v>
      </c>
      <c r="C773" s="118" t="s">
        <v>3648</v>
      </c>
      <c r="D773" s="118" t="s">
        <v>3684</v>
      </c>
      <c r="E773" s="247">
        <v>4630000</v>
      </c>
    </row>
    <row r="774" spans="2:5" x14ac:dyDescent="0.2">
      <c r="B774" s="247">
        <f t="shared" ref="B774:B837" si="12">B773+1</f>
        <v>770</v>
      </c>
      <c r="C774" s="118" t="s">
        <v>3649</v>
      </c>
      <c r="D774" s="118" t="s">
        <v>3684</v>
      </c>
      <c r="E774" s="247">
        <v>4591928</v>
      </c>
    </row>
    <row r="775" spans="2:5" x14ac:dyDescent="0.2">
      <c r="B775" s="247">
        <f t="shared" si="12"/>
        <v>771</v>
      </c>
      <c r="C775" s="118" t="s">
        <v>3650</v>
      </c>
      <c r="D775" s="118" t="s">
        <v>3684</v>
      </c>
      <c r="E775" s="247">
        <v>4500000</v>
      </c>
    </row>
    <row r="776" spans="2:5" x14ac:dyDescent="0.2">
      <c r="B776" s="247">
        <f t="shared" si="12"/>
        <v>772</v>
      </c>
      <c r="C776" s="118" t="s">
        <v>3651</v>
      </c>
      <c r="D776" s="118" t="s">
        <v>3684</v>
      </c>
      <c r="E776" s="247">
        <v>4500000</v>
      </c>
    </row>
    <row r="777" spans="2:5" x14ac:dyDescent="0.2">
      <c r="B777" s="247">
        <f t="shared" si="12"/>
        <v>773</v>
      </c>
      <c r="C777" s="118" t="s">
        <v>550</v>
      </c>
      <c r="D777" s="118" t="s">
        <v>3684</v>
      </c>
      <c r="E777" s="247">
        <v>4134600</v>
      </c>
    </row>
    <row r="778" spans="2:5" x14ac:dyDescent="0.2">
      <c r="B778" s="247">
        <f t="shared" si="12"/>
        <v>774</v>
      </c>
      <c r="C778" s="118" t="s">
        <v>551</v>
      </c>
      <c r="D778" s="118" t="s">
        <v>3684</v>
      </c>
      <c r="E778" s="247">
        <v>4134150</v>
      </c>
    </row>
    <row r="779" spans="2:5" x14ac:dyDescent="0.2">
      <c r="B779" s="247">
        <f t="shared" si="12"/>
        <v>775</v>
      </c>
      <c r="C779" s="118" t="s">
        <v>554</v>
      </c>
      <c r="D779" s="118" t="s">
        <v>3684</v>
      </c>
      <c r="E779" s="247">
        <v>4000000</v>
      </c>
    </row>
    <row r="780" spans="2:5" x14ac:dyDescent="0.2">
      <c r="B780" s="247">
        <f t="shared" si="12"/>
        <v>776</v>
      </c>
      <c r="C780" s="118" t="s">
        <v>578</v>
      </c>
      <c r="D780" s="118" t="s">
        <v>3684</v>
      </c>
      <c r="E780" s="247">
        <v>3842237</v>
      </c>
    </row>
    <row r="781" spans="2:5" x14ac:dyDescent="0.2">
      <c r="B781" s="247">
        <f t="shared" si="12"/>
        <v>777</v>
      </c>
      <c r="C781" s="118" t="s">
        <v>556</v>
      </c>
      <c r="D781" s="118" t="s">
        <v>3684</v>
      </c>
      <c r="E781" s="247">
        <v>3525000</v>
      </c>
    </row>
    <row r="782" spans="2:5" x14ac:dyDescent="0.2">
      <c r="B782" s="247">
        <f t="shared" si="12"/>
        <v>778</v>
      </c>
      <c r="C782" s="118" t="s">
        <v>555</v>
      </c>
      <c r="D782" s="118" t="s">
        <v>3684</v>
      </c>
      <c r="E782" s="247">
        <v>3499650</v>
      </c>
    </row>
    <row r="783" spans="2:5" x14ac:dyDescent="0.2">
      <c r="B783" s="247">
        <f t="shared" si="12"/>
        <v>779</v>
      </c>
      <c r="C783" s="118" t="s">
        <v>557</v>
      </c>
      <c r="D783" s="118" t="s">
        <v>3684</v>
      </c>
      <c r="E783" s="247">
        <v>3405000</v>
      </c>
    </row>
    <row r="784" spans="2:5" x14ac:dyDescent="0.2">
      <c r="B784" s="247">
        <f t="shared" si="12"/>
        <v>780</v>
      </c>
      <c r="C784" s="118" t="s">
        <v>548</v>
      </c>
      <c r="D784" s="118" t="s">
        <v>3684</v>
      </c>
      <c r="E784" s="247">
        <v>3086250</v>
      </c>
    </row>
    <row r="785" spans="2:5" x14ac:dyDescent="0.2">
      <c r="B785" s="247">
        <f t="shared" si="12"/>
        <v>781</v>
      </c>
      <c r="C785" s="118" t="s">
        <v>558</v>
      </c>
      <c r="D785" s="118" t="s">
        <v>3684</v>
      </c>
      <c r="E785" s="247">
        <v>3000000</v>
      </c>
    </row>
    <row r="786" spans="2:5" x14ac:dyDescent="0.2">
      <c r="B786" s="247">
        <f t="shared" si="12"/>
        <v>782</v>
      </c>
      <c r="C786" s="118" t="s">
        <v>566</v>
      </c>
      <c r="D786" s="118" t="s">
        <v>3684</v>
      </c>
      <c r="E786" s="247">
        <v>3000000</v>
      </c>
    </row>
    <row r="787" spans="2:5" x14ac:dyDescent="0.2">
      <c r="B787" s="247">
        <f t="shared" si="12"/>
        <v>783</v>
      </c>
      <c r="C787" s="118" t="s">
        <v>561</v>
      </c>
      <c r="D787" s="118" t="s">
        <v>3684</v>
      </c>
      <c r="E787" s="247">
        <v>3000000</v>
      </c>
    </row>
    <row r="788" spans="2:5" x14ac:dyDescent="0.2">
      <c r="B788" s="247">
        <f t="shared" si="12"/>
        <v>784</v>
      </c>
      <c r="C788" s="118" t="s">
        <v>564</v>
      </c>
      <c r="D788" s="118" t="s">
        <v>3684</v>
      </c>
      <c r="E788" s="247">
        <v>3000000</v>
      </c>
    </row>
    <row r="789" spans="2:5" x14ac:dyDescent="0.2">
      <c r="B789" s="247">
        <f t="shared" si="12"/>
        <v>785</v>
      </c>
      <c r="C789" s="118" t="s">
        <v>575</v>
      </c>
      <c r="D789" s="118" t="s">
        <v>3684</v>
      </c>
      <c r="E789" s="247">
        <v>3000000</v>
      </c>
    </row>
    <row r="790" spans="2:5" x14ac:dyDescent="0.2">
      <c r="B790" s="247">
        <f t="shared" si="12"/>
        <v>786</v>
      </c>
      <c r="C790" s="118" t="s">
        <v>559</v>
      </c>
      <c r="D790" s="118" t="s">
        <v>3684</v>
      </c>
      <c r="E790" s="247">
        <v>3000000</v>
      </c>
    </row>
    <row r="791" spans="2:5" x14ac:dyDescent="0.2">
      <c r="B791" s="247">
        <f t="shared" si="12"/>
        <v>787</v>
      </c>
      <c r="C791" s="118" t="s">
        <v>568</v>
      </c>
      <c r="D791" s="118" t="s">
        <v>3684</v>
      </c>
      <c r="E791" s="247">
        <v>3000000</v>
      </c>
    </row>
    <row r="792" spans="2:5" x14ac:dyDescent="0.2">
      <c r="B792" s="247">
        <f t="shared" si="12"/>
        <v>788</v>
      </c>
      <c r="C792" s="118" t="s">
        <v>565</v>
      </c>
      <c r="D792" s="118" t="s">
        <v>3684</v>
      </c>
      <c r="E792" s="247">
        <v>3000000</v>
      </c>
    </row>
    <row r="793" spans="2:5" x14ac:dyDescent="0.2">
      <c r="B793" s="247">
        <f t="shared" si="12"/>
        <v>789</v>
      </c>
      <c r="C793" s="118" t="s">
        <v>570</v>
      </c>
      <c r="D793" s="118" t="s">
        <v>3684</v>
      </c>
      <c r="E793" s="247">
        <v>3000000</v>
      </c>
    </row>
    <row r="794" spans="2:5" x14ac:dyDescent="0.2">
      <c r="B794" s="247">
        <f t="shared" si="12"/>
        <v>790</v>
      </c>
      <c r="C794" s="118" t="s">
        <v>571</v>
      </c>
      <c r="D794" s="118" t="s">
        <v>3684</v>
      </c>
      <c r="E794" s="247">
        <v>3000000</v>
      </c>
    </row>
    <row r="795" spans="2:5" x14ac:dyDescent="0.2">
      <c r="B795" s="247">
        <f t="shared" si="12"/>
        <v>791</v>
      </c>
      <c r="C795" s="118" t="s">
        <v>563</v>
      </c>
      <c r="D795" s="118" t="s">
        <v>3684</v>
      </c>
      <c r="E795" s="247">
        <v>3000000</v>
      </c>
    </row>
    <row r="796" spans="2:5" x14ac:dyDescent="0.2">
      <c r="B796" s="247">
        <f t="shared" si="12"/>
        <v>792</v>
      </c>
      <c r="C796" s="118" t="s">
        <v>671</v>
      </c>
      <c r="D796" s="118" t="s">
        <v>3689</v>
      </c>
      <c r="E796" s="247">
        <v>3000000</v>
      </c>
    </row>
    <row r="797" spans="2:5" x14ac:dyDescent="0.2">
      <c r="B797" s="247">
        <f t="shared" si="12"/>
        <v>793</v>
      </c>
      <c r="C797" s="118" t="s">
        <v>574</v>
      </c>
      <c r="D797" s="118" t="s">
        <v>3684</v>
      </c>
      <c r="E797" s="247">
        <v>3000000</v>
      </c>
    </row>
    <row r="798" spans="2:5" x14ac:dyDescent="0.2">
      <c r="B798" s="247">
        <f t="shared" si="12"/>
        <v>794</v>
      </c>
      <c r="C798" s="118" t="s">
        <v>569</v>
      </c>
      <c r="D798" s="118" t="s">
        <v>3684</v>
      </c>
      <c r="E798" s="247">
        <v>3000000</v>
      </c>
    </row>
    <row r="799" spans="2:5" x14ac:dyDescent="0.2">
      <c r="B799" s="247">
        <f t="shared" si="12"/>
        <v>795</v>
      </c>
      <c r="C799" s="118" t="s">
        <v>560</v>
      </c>
      <c r="D799" s="118" t="s">
        <v>3684</v>
      </c>
      <c r="E799" s="247">
        <v>3000000</v>
      </c>
    </row>
    <row r="800" spans="2:5" x14ac:dyDescent="0.2">
      <c r="B800" s="247">
        <f t="shared" si="12"/>
        <v>796</v>
      </c>
      <c r="C800" s="118" t="s">
        <v>567</v>
      </c>
      <c r="D800" s="118" t="s">
        <v>3684</v>
      </c>
      <c r="E800" s="247">
        <v>3000000</v>
      </c>
    </row>
    <row r="801" spans="2:5" x14ac:dyDescent="0.2">
      <c r="B801" s="247">
        <f t="shared" si="12"/>
        <v>797</v>
      </c>
      <c r="C801" s="118" t="s">
        <v>572</v>
      </c>
      <c r="D801" s="118" t="s">
        <v>3684</v>
      </c>
      <c r="E801" s="247">
        <v>3000000</v>
      </c>
    </row>
    <row r="802" spans="2:5" x14ac:dyDescent="0.2">
      <c r="B802" s="247">
        <f t="shared" si="12"/>
        <v>798</v>
      </c>
      <c r="C802" s="118" t="s">
        <v>573</v>
      </c>
      <c r="D802" s="118" t="s">
        <v>3684</v>
      </c>
      <c r="E802" s="247">
        <v>3000000</v>
      </c>
    </row>
    <row r="803" spans="2:5" x14ac:dyDescent="0.2">
      <c r="B803" s="247">
        <f t="shared" si="12"/>
        <v>799</v>
      </c>
      <c r="C803" s="118" t="s">
        <v>562</v>
      </c>
      <c r="D803" s="118" t="s">
        <v>3684</v>
      </c>
      <c r="E803" s="247">
        <v>3000000</v>
      </c>
    </row>
    <row r="804" spans="2:5" x14ac:dyDescent="0.2">
      <c r="B804" s="247">
        <f t="shared" si="12"/>
        <v>800</v>
      </c>
      <c r="C804" s="118" t="s">
        <v>576</v>
      </c>
      <c r="D804" s="118" t="s">
        <v>3687</v>
      </c>
      <c r="E804" s="247">
        <v>2990000</v>
      </c>
    </row>
    <row r="805" spans="2:5" x14ac:dyDescent="0.2">
      <c r="B805" s="247">
        <f t="shared" si="12"/>
        <v>801</v>
      </c>
      <c r="C805" s="118" t="s">
        <v>577</v>
      </c>
      <c r="D805" s="118" t="s">
        <v>3684</v>
      </c>
      <c r="E805" s="247">
        <v>2958600</v>
      </c>
    </row>
    <row r="806" spans="2:5" x14ac:dyDescent="0.2">
      <c r="B806" s="247">
        <f t="shared" si="12"/>
        <v>802</v>
      </c>
      <c r="C806" s="118" t="s">
        <v>579</v>
      </c>
      <c r="D806" s="118" t="s">
        <v>3684</v>
      </c>
      <c r="E806" s="247">
        <v>2828100</v>
      </c>
    </row>
    <row r="807" spans="2:5" x14ac:dyDescent="0.2">
      <c r="B807" s="247">
        <f t="shared" si="12"/>
        <v>803</v>
      </c>
      <c r="C807" s="118" t="s">
        <v>582</v>
      </c>
      <c r="D807" s="118" t="s">
        <v>3684</v>
      </c>
      <c r="E807" s="247">
        <v>2500000</v>
      </c>
    </row>
    <row r="808" spans="2:5" x14ac:dyDescent="0.2">
      <c r="B808" s="247">
        <f t="shared" si="12"/>
        <v>804</v>
      </c>
      <c r="C808" s="118" t="s">
        <v>583</v>
      </c>
      <c r="D808" s="118" t="s">
        <v>3684</v>
      </c>
      <c r="E808" s="247">
        <v>2500000</v>
      </c>
    </row>
    <row r="809" spans="2:5" x14ac:dyDescent="0.2">
      <c r="B809" s="247">
        <f t="shared" si="12"/>
        <v>805</v>
      </c>
      <c r="C809" s="118" t="s">
        <v>581</v>
      </c>
      <c r="D809" s="118" t="s">
        <v>3684</v>
      </c>
      <c r="E809" s="247">
        <v>2500000</v>
      </c>
    </row>
    <row r="810" spans="2:5" x14ac:dyDescent="0.2">
      <c r="B810" s="247">
        <f t="shared" si="12"/>
        <v>806</v>
      </c>
      <c r="C810" s="118" t="s">
        <v>584</v>
      </c>
      <c r="D810" s="118" t="s">
        <v>3684</v>
      </c>
      <c r="E810" s="247">
        <v>2431711</v>
      </c>
    </row>
    <row r="811" spans="2:5" x14ac:dyDescent="0.2">
      <c r="B811" s="247">
        <f t="shared" si="12"/>
        <v>807</v>
      </c>
      <c r="C811" s="118" t="s">
        <v>585</v>
      </c>
      <c r="D811" s="118" t="s">
        <v>3684</v>
      </c>
      <c r="E811" s="247">
        <v>2420000</v>
      </c>
    </row>
    <row r="812" spans="2:5" x14ac:dyDescent="0.2">
      <c r="B812" s="247">
        <f t="shared" si="12"/>
        <v>808</v>
      </c>
      <c r="C812" s="118" t="s">
        <v>3652</v>
      </c>
      <c r="D812" s="118" t="s">
        <v>3684</v>
      </c>
      <c r="E812" s="247">
        <v>2200000</v>
      </c>
    </row>
    <row r="813" spans="2:5" x14ac:dyDescent="0.2">
      <c r="B813" s="247">
        <f t="shared" si="12"/>
        <v>809</v>
      </c>
      <c r="C813" s="118" t="s">
        <v>3653</v>
      </c>
      <c r="D813" s="118" t="s">
        <v>3684</v>
      </c>
      <c r="E813" s="247">
        <v>2014089</v>
      </c>
    </row>
    <row r="814" spans="2:5" x14ac:dyDescent="0.2">
      <c r="B814" s="247">
        <f t="shared" si="12"/>
        <v>810</v>
      </c>
      <c r="C814" s="118" t="s">
        <v>587</v>
      </c>
      <c r="D814" s="118" t="s">
        <v>3684</v>
      </c>
      <c r="E814" s="247">
        <v>1806900</v>
      </c>
    </row>
    <row r="815" spans="2:5" x14ac:dyDescent="0.2">
      <c r="B815" s="247">
        <f t="shared" si="12"/>
        <v>811</v>
      </c>
      <c r="C815" s="118" t="s">
        <v>3654</v>
      </c>
      <c r="D815" s="118" t="s">
        <v>3684</v>
      </c>
      <c r="E815" s="247">
        <v>1590004</v>
      </c>
    </row>
    <row r="816" spans="2:5" x14ac:dyDescent="0.2">
      <c r="B816" s="247">
        <f t="shared" si="12"/>
        <v>812</v>
      </c>
      <c r="C816" s="118" t="s">
        <v>472</v>
      </c>
      <c r="D816" s="118" t="s">
        <v>3684</v>
      </c>
      <c r="E816" s="247">
        <v>1500000</v>
      </c>
    </row>
    <row r="817" spans="2:5" x14ac:dyDescent="0.2">
      <c r="B817" s="247">
        <f t="shared" si="12"/>
        <v>813</v>
      </c>
      <c r="C817" s="118" t="s">
        <v>588</v>
      </c>
      <c r="D817" s="118" t="s">
        <v>3684</v>
      </c>
      <c r="E817" s="247">
        <v>1500000</v>
      </c>
    </row>
    <row r="818" spans="2:5" x14ac:dyDescent="0.2">
      <c r="B818" s="247">
        <f t="shared" si="12"/>
        <v>814</v>
      </c>
      <c r="C818" s="118" t="s">
        <v>3655</v>
      </c>
      <c r="D818" s="118" t="s">
        <v>3684</v>
      </c>
      <c r="E818" s="247">
        <v>1495395</v>
      </c>
    </row>
    <row r="819" spans="2:5" x14ac:dyDescent="0.2">
      <c r="B819" s="247">
        <f t="shared" si="12"/>
        <v>815</v>
      </c>
      <c r="C819" s="118" t="s">
        <v>3656</v>
      </c>
      <c r="D819" s="118" t="s">
        <v>3684</v>
      </c>
      <c r="E819" s="247">
        <v>1424320</v>
      </c>
    </row>
    <row r="820" spans="2:5" x14ac:dyDescent="0.2">
      <c r="B820" s="247">
        <f t="shared" si="12"/>
        <v>816</v>
      </c>
      <c r="C820" s="118" t="s">
        <v>589</v>
      </c>
      <c r="D820" s="118" t="s">
        <v>3684</v>
      </c>
      <c r="E820" s="247">
        <v>1423800</v>
      </c>
    </row>
    <row r="821" spans="2:5" x14ac:dyDescent="0.2">
      <c r="B821" s="247">
        <f t="shared" si="12"/>
        <v>817</v>
      </c>
      <c r="C821" s="118" t="s">
        <v>590</v>
      </c>
      <c r="D821" s="118" t="s">
        <v>3684</v>
      </c>
      <c r="E821" s="247">
        <v>1400000</v>
      </c>
    </row>
    <row r="822" spans="2:5" x14ac:dyDescent="0.2">
      <c r="B822" s="247">
        <f t="shared" si="12"/>
        <v>818</v>
      </c>
      <c r="C822" s="118" t="s">
        <v>2424</v>
      </c>
      <c r="D822" s="118" t="s">
        <v>3684</v>
      </c>
      <c r="E822" s="247">
        <v>1382934</v>
      </c>
    </row>
    <row r="823" spans="2:5" x14ac:dyDescent="0.2">
      <c r="B823" s="247">
        <f t="shared" si="12"/>
        <v>819</v>
      </c>
      <c r="C823" s="118" t="s">
        <v>3657</v>
      </c>
      <c r="D823" s="118" t="s">
        <v>3684</v>
      </c>
      <c r="E823" s="247">
        <v>1287750</v>
      </c>
    </row>
    <row r="824" spans="2:5" x14ac:dyDescent="0.2">
      <c r="B824" s="247">
        <f t="shared" si="12"/>
        <v>820</v>
      </c>
      <c r="C824" s="118" t="s">
        <v>3658</v>
      </c>
      <c r="D824" s="118" t="s">
        <v>3684</v>
      </c>
      <c r="E824" s="247">
        <v>1200000</v>
      </c>
    </row>
    <row r="825" spans="2:5" x14ac:dyDescent="0.2">
      <c r="B825" s="247">
        <f t="shared" si="12"/>
        <v>821</v>
      </c>
      <c r="C825" s="118" t="s">
        <v>3659</v>
      </c>
      <c r="D825" s="118" t="s">
        <v>3684</v>
      </c>
      <c r="E825" s="247">
        <v>1158555</v>
      </c>
    </row>
    <row r="826" spans="2:5" x14ac:dyDescent="0.2">
      <c r="B826" s="247">
        <f t="shared" si="12"/>
        <v>822</v>
      </c>
      <c r="C826" s="118" t="s">
        <v>591</v>
      </c>
      <c r="D826" s="118" t="s">
        <v>3684</v>
      </c>
      <c r="E826" s="247">
        <v>691800</v>
      </c>
    </row>
    <row r="827" spans="2:5" x14ac:dyDescent="0.2">
      <c r="B827" s="247">
        <f t="shared" si="12"/>
        <v>823</v>
      </c>
      <c r="C827" s="118" t="s">
        <v>592</v>
      </c>
      <c r="D827" s="118" t="s">
        <v>3684</v>
      </c>
      <c r="E827" s="247">
        <v>690000</v>
      </c>
    </row>
    <row r="828" spans="2:5" x14ac:dyDescent="0.2">
      <c r="B828" s="247">
        <f t="shared" si="12"/>
        <v>824</v>
      </c>
      <c r="C828" s="118" t="s">
        <v>593</v>
      </c>
      <c r="D828" s="118" t="s">
        <v>3684</v>
      </c>
      <c r="E828" s="247">
        <v>606000</v>
      </c>
    </row>
    <row r="829" spans="2:5" x14ac:dyDescent="0.2">
      <c r="B829" s="247">
        <f t="shared" si="12"/>
        <v>825</v>
      </c>
      <c r="C829" s="118" t="s">
        <v>638</v>
      </c>
      <c r="D829" s="118" t="s">
        <v>3414</v>
      </c>
      <c r="E829" s="247">
        <v>575000</v>
      </c>
    </row>
    <row r="830" spans="2:5" x14ac:dyDescent="0.2">
      <c r="B830" s="247">
        <f t="shared" si="12"/>
        <v>826</v>
      </c>
      <c r="C830" s="118" t="s">
        <v>3660</v>
      </c>
      <c r="D830" s="118" t="s">
        <v>3684</v>
      </c>
      <c r="E830" s="247">
        <v>566666</v>
      </c>
    </row>
    <row r="831" spans="2:5" x14ac:dyDescent="0.2">
      <c r="B831" s="247">
        <f t="shared" si="12"/>
        <v>827</v>
      </c>
      <c r="C831" s="118" t="s">
        <v>594</v>
      </c>
      <c r="D831" s="118" t="s">
        <v>3684</v>
      </c>
      <c r="E831" s="247">
        <v>550000</v>
      </c>
    </row>
    <row r="832" spans="2:5" x14ac:dyDescent="0.2">
      <c r="B832" s="247">
        <f t="shared" si="12"/>
        <v>828</v>
      </c>
      <c r="C832" s="118" t="s">
        <v>596</v>
      </c>
      <c r="D832" s="118" t="s">
        <v>3684</v>
      </c>
      <c r="E832" s="247">
        <v>500000</v>
      </c>
    </row>
    <row r="833" spans="2:5" x14ac:dyDescent="0.2">
      <c r="B833" s="247">
        <f t="shared" si="12"/>
        <v>829</v>
      </c>
      <c r="C833" s="118" t="s">
        <v>595</v>
      </c>
      <c r="D833" s="118" t="s">
        <v>3684</v>
      </c>
      <c r="E833" s="247">
        <v>500000</v>
      </c>
    </row>
    <row r="834" spans="2:5" x14ac:dyDescent="0.2">
      <c r="B834" s="247">
        <f t="shared" si="12"/>
        <v>830</v>
      </c>
      <c r="C834" s="118" t="s">
        <v>597</v>
      </c>
      <c r="D834" s="118" t="s">
        <v>3684</v>
      </c>
      <c r="E834" s="247">
        <v>500000</v>
      </c>
    </row>
    <row r="835" spans="2:5" x14ac:dyDescent="0.2">
      <c r="B835" s="247">
        <f t="shared" si="12"/>
        <v>831</v>
      </c>
      <c r="C835" s="118" t="s">
        <v>598</v>
      </c>
      <c r="D835" s="118" t="s">
        <v>3684</v>
      </c>
      <c r="E835" s="247">
        <v>367000</v>
      </c>
    </row>
    <row r="836" spans="2:5" x14ac:dyDescent="0.2">
      <c r="B836" s="247">
        <f t="shared" si="12"/>
        <v>832</v>
      </c>
      <c r="C836" s="118" t="s">
        <v>3661</v>
      </c>
      <c r="D836" s="118" t="s">
        <v>3684</v>
      </c>
      <c r="E836" s="247">
        <v>348825</v>
      </c>
    </row>
    <row r="837" spans="2:5" x14ac:dyDescent="0.2">
      <c r="B837" s="247">
        <f t="shared" si="12"/>
        <v>833</v>
      </c>
      <c r="C837" s="118" t="s">
        <v>599</v>
      </c>
      <c r="D837" s="118" t="s">
        <v>3684</v>
      </c>
      <c r="E837" s="247">
        <v>301200</v>
      </c>
    </row>
    <row r="838" spans="2:5" x14ac:dyDescent="0.2">
      <c r="B838" s="247">
        <f t="shared" ref="B838:B849" si="13">B837+1</f>
        <v>834</v>
      </c>
      <c r="C838" s="118" t="s">
        <v>672</v>
      </c>
      <c r="D838" s="118" t="s">
        <v>3689</v>
      </c>
      <c r="E838" s="247">
        <v>300600</v>
      </c>
    </row>
    <row r="839" spans="2:5" x14ac:dyDescent="0.2">
      <c r="B839" s="247">
        <f t="shared" si="13"/>
        <v>835</v>
      </c>
      <c r="C839" s="118" t="s">
        <v>600</v>
      </c>
      <c r="D839" s="118" t="s">
        <v>3684</v>
      </c>
      <c r="E839" s="247">
        <v>300000</v>
      </c>
    </row>
    <row r="840" spans="2:5" x14ac:dyDescent="0.2">
      <c r="B840" s="247">
        <f t="shared" si="13"/>
        <v>836</v>
      </c>
      <c r="C840" s="118" t="s">
        <v>601</v>
      </c>
      <c r="D840" s="118" t="s">
        <v>3684</v>
      </c>
      <c r="E840" s="247">
        <v>300000</v>
      </c>
    </row>
    <row r="841" spans="2:5" x14ac:dyDescent="0.2">
      <c r="B841" s="247">
        <f t="shared" si="13"/>
        <v>837</v>
      </c>
      <c r="C841" s="118" t="s">
        <v>602</v>
      </c>
      <c r="D841" s="118" t="s">
        <v>3684</v>
      </c>
      <c r="E841" s="247">
        <v>300000</v>
      </c>
    </row>
    <row r="842" spans="2:5" x14ac:dyDescent="0.2">
      <c r="B842" s="247">
        <f t="shared" si="13"/>
        <v>838</v>
      </c>
      <c r="C842" s="118" t="s">
        <v>3662</v>
      </c>
      <c r="D842" s="118" t="s">
        <v>3684</v>
      </c>
      <c r="E842" s="247">
        <v>241303</v>
      </c>
    </row>
    <row r="843" spans="2:5" x14ac:dyDescent="0.2">
      <c r="B843" s="247">
        <f t="shared" si="13"/>
        <v>839</v>
      </c>
      <c r="C843" s="118" t="s">
        <v>603</v>
      </c>
      <c r="D843" s="118" t="s">
        <v>3684</v>
      </c>
      <c r="E843" s="247">
        <v>201600</v>
      </c>
    </row>
    <row r="844" spans="2:5" x14ac:dyDescent="0.2">
      <c r="B844" s="247">
        <f t="shared" si="13"/>
        <v>840</v>
      </c>
      <c r="C844" s="118" t="s">
        <v>607</v>
      </c>
      <c r="D844" s="118" t="s">
        <v>3684</v>
      </c>
      <c r="E844" s="247">
        <v>200000</v>
      </c>
    </row>
    <row r="845" spans="2:5" x14ac:dyDescent="0.2">
      <c r="B845" s="247">
        <f t="shared" si="13"/>
        <v>841</v>
      </c>
      <c r="C845" s="118" t="s">
        <v>606</v>
      </c>
      <c r="D845" s="118" t="s">
        <v>3684</v>
      </c>
      <c r="E845" s="247">
        <v>200000</v>
      </c>
    </row>
    <row r="846" spans="2:5" x14ac:dyDescent="0.2">
      <c r="B846" s="247">
        <f t="shared" si="13"/>
        <v>842</v>
      </c>
      <c r="C846" s="118" t="s">
        <v>605</v>
      </c>
      <c r="D846" s="118" t="s">
        <v>3684</v>
      </c>
      <c r="E846" s="247">
        <v>200000</v>
      </c>
    </row>
    <row r="847" spans="2:5" x14ac:dyDescent="0.2">
      <c r="B847" s="247">
        <f t="shared" si="13"/>
        <v>843</v>
      </c>
      <c r="C847" s="118" t="s">
        <v>609</v>
      </c>
      <c r="D847" s="118" t="s">
        <v>3684</v>
      </c>
      <c r="E847" s="247">
        <v>200000</v>
      </c>
    </row>
    <row r="848" spans="2:5" x14ac:dyDescent="0.2">
      <c r="B848" s="247">
        <f t="shared" si="13"/>
        <v>844</v>
      </c>
      <c r="C848" s="118" t="s">
        <v>604</v>
      </c>
      <c r="D848" s="118" t="s">
        <v>3684</v>
      </c>
      <c r="E848" s="247">
        <v>200000</v>
      </c>
    </row>
    <row r="849" spans="2:5" x14ac:dyDescent="0.2">
      <c r="B849" s="247">
        <f t="shared" si="13"/>
        <v>845</v>
      </c>
      <c r="C849" s="118" t="s">
        <v>608</v>
      </c>
      <c r="D849" s="118" t="s">
        <v>3684</v>
      </c>
      <c r="E849" s="247">
        <v>200000</v>
      </c>
    </row>
    <row r="850" spans="2:5" x14ac:dyDescent="0.2">
      <c r="B850" s="245"/>
      <c r="C850" s="246" t="s">
        <v>3691</v>
      </c>
      <c r="D850" s="246"/>
      <c r="E850" s="245">
        <f>SUM(E5:E849)</f>
        <v>6077692900084.5664</v>
      </c>
    </row>
    <row r="851" spans="2:5" x14ac:dyDescent="0.2">
      <c r="E851" s="233"/>
    </row>
  </sheetData>
  <autoFilter ref="B4:E851" xr:uid="{70064F5C-B9AE-466D-84D1-0B293495B59C}"/>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CDAD0-A51E-4A59-B5C2-11D441190D64}">
  <dimension ref="B2:F302"/>
  <sheetViews>
    <sheetView showGridLines="0" topLeftCell="A4" zoomScale="70" zoomScaleNormal="70" workbookViewId="0">
      <selection activeCell="D4" sqref="D4"/>
    </sheetView>
  </sheetViews>
  <sheetFormatPr defaultColWidth="11.43359375" defaultRowHeight="15" x14ac:dyDescent="0.2"/>
  <cols>
    <col min="2" max="2" width="6.58984375" customWidth="1"/>
    <col min="3" max="3" width="89.58984375" bestFit="1" customWidth="1"/>
    <col min="4" max="4" width="22.8671875" customWidth="1"/>
    <col min="5" max="5" width="17.890625" bestFit="1" customWidth="1"/>
    <col min="6" max="6" width="15.06640625" bestFit="1" customWidth="1"/>
  </cols>
  <sheetData>
    <row r="2" spans="2:4" x14ac:dyDescent="0.2">
      <c r="B2" s="3" t="s">
        <v>12</v>
      </c>
    </row>
    <row r="4" spans="2:4" x14ac:dyDescent="0.2">
      <c r="B4" s="234" t="s">
        <v>22</v>
      </c>
      <c r="C4" s="235" t="s">
        <v>23</v>
      </c>
      <c r="D4" s="236" t="s">
        <v>3412</v>
      </c>
    </row>
    <row r="5" spans="2:4" x14ac:dyDescent="0.2">
      <c r="B5" s="117">
        <v>1</v>
      </c>
      <c r="C5" s="118" t="s">
        <v>3392</v>
      </c>
      <c r="D5" s="241">
        <v>1036603131497</v>
      </c>
    </row>
    <row r="6" spans="2:4" x14ac:dyDescent="0.2">
      <c r="B6" s="117">
        <f>B5+1</f>
        <v>2</v>
      </c>
      <c r="C6" s="118" t="s">
        <v>3394</v>
      </c>
      <c r="D6" s="241">
        <v>948506626833</v>
      </c>
    </row>
    <row r="7" spans="2:4" x14ac:dyDescent="0.2">
      <c r="B7" s="117">
        <f t="shared" ref="B7:B44" si="0">B6+1</f>
        <v>3</v>
      </c>
      <c r="C7" s="118" t="s">
        <v>3663</v>
      </c>
      <c r="D7" s="241">
        <v>856668443874</v>
      </c>
    </row>
    <row r="8" spans="2:4" x14ac:dyDescent="0.2">
      <c r="B8" s="117">
        <f t="shared" si="0"/>
        <v>4</v>
      </c>
      <c r="C8" s="118" t="s">
        <v>3410</v>
      </c>
      <c r="D8" s="241">
        <v>752328685828</v>
      </c>
    </row>
    <row r="9" spans="2:4" x14ac:dyDescent="0.2">
      <c r="B9" s="117">
        <f t="shared" si="0"/>
        <v>5</v>
      </c>
      <c r="C9" s="118" t="s">
        <v>3664</v>
      </c>
      <c r="D9" s="241">
        <v>315087605710</v>
      </c>
    </row>
    <row r="10" spans="2:4" x14ac:dyDescent="0.2">
      <c r="B10" s="117">
        <f t="shared" si="0"/>
        <v>6</v>
      </c>
      <c r="C10" s="118" t="s">
        <v>3665</v>
      </c>
      <c r="D10" s="241">
        <v>228994802583</v>
      </c>
    </row>
    <row r="11" spans="2:4" x14ac:dyDescent="0.2">
      <c r="B11" s="117">
        <f t="shared" si="0"/>
        <v>7</v>
      </c>
      <c r="C11" s="118" t="s">
        <v>3400</v>
      </c>
      <c r="D11" s="241">
        <v>226407822722</v>
      </c>
    </row>
    <row r="12" spans="2:4" x14ac:dyDescent="0.2">
      <c r="B12" s="117">
        <f t="shared" si="0"/>
        <v>8</v>
      </c>
      <c r="C12" s="118" t="s">
        <v>3692</v>
      </c>
      <c r="D12" s="241">
        <v>212483446266</v>
      </c>
    </row>
    <row r="13" spans="2:4" x14ac:dyDescent="0.2">
      <c r="B13" s="117">
        <f t="shared" si="0"/>
        <v>9</v>
      </c>
      <c r="C13" s="118" t="s">
        <v>3666</v>
      </c>
      <c r="D13" s="241">
        <v>205957352512</v>
      </c>
    </row>
    <row r="14" spans="2:4" x14ac:dyDescent="0.2">
      <c r="B14" s="117">
        <f t="shared" si="0"/>
        <v>10</v>
      </c>
      <c r="C14" s="118" t="s">
        <v>3402</v>
      </c>
      <c r="D14" s="241">
        <v>203023861421</v>
      </c>
    </row>
    <row r="15" spans="2:4" x14ac:dyDescent="0.2">
      <c r="B15" s="117">
        <f t="shared" si="0"/>
        <v>11</v>
      </c>
      <c r="C15" s="118" t="s">
        <v>3404</v>
      </c>
      <c r="D15" s="241">
        <v>184950443698.6188</v>
      </c>
    </row>
    <row r="16" spans="2:4" x14ac:dyDescent="0.2">
      <c r="B16" s="117">
        <f t="shared" si="0"/>
        <v>12</v>
      </c>
      <c r="C16" s="118" t="s">
        <v>3667</v>
      </c>
      <c r="D16" s="241">
        <v>153485816384</v>
      </c>
    </row>
    <row r="17" spans="2:4" x14ac:dyDescent="0.2">
      <c r="B17" s="117">
        <f t="shared" si="0"/>
        <v>13</v>
      </c>
      <c r="C17" s="118" t="s">
        <v>3693</v>
      </c>
      <c r="D17" s="241">
        <v>144396868862</v>
      </c>
    </row>
    <row r="18" spans="2:4" x14ac:dyDescent="0.2">
      <c r="B18" s="117">
        <f t="shared" si="0"/>
        <v>14</v>
      </c>
      <c r="C18" s="118" t="s">
        <v>3668</v>
      </c>
      <c r="D18" s="241">
        <v>120812161966</v>
      </c>
    </row>
    <row r="19" spans="2:4" x14ac:dyDescent="0.2">
      <c r="B19" s="117">
        <f t="shared" si="0"/>
        <v>15</v>
      </c>
      <c r="C19" s="118" t="s">
        <v>3669</v>
      </c>
      <c r="D19" s="241">
        <v>111836754568</v>
      </c>
    </row>
    <row r="20" spans="2:4" x14ac:dyDescent="0.2">
      <c r="B20" s="117">
        <f t="shared" si="0"/>
        <v>16</v>
      </c>
      <c r="C20" s="118" t="s">
        <v>3694</v>
      </c>
      <c r="D20" s="241">
        <v>87310939920</v>
      </c>
    </row>
    <row r="21" spans="2:4" x14ac:dyDescent="0.2">
      <c r="B21" s="117">
        <f t="shared" si="0"/>
        <v>17</v>
      </c>
      <c r="C21" s="118" t="s">
        <v>3695</v>
      </c>
      <c r="D21" s="241">
        <v>81116095540</v>
      </c>
    </row>
    <row r="22" spans="2:4" x14ac:dyDescent="0.2">
      <c r="B22" s="117">
        <f t="shared" si="0"/>
        <v>18</v>
      </c>
      <c r="C22" s="118" t="s">
        <v>3696</v>
      </c>
      <c r="D22" s="241">
        <v>34044413903</v>
      </c>
    </row>
    <row r="23" spans="2:4" x14ac:dyDescent="0.2">
      <c r="B23" s="117">
        <f t="shared" si="0"/>
        <v>19</v>
      </c>
      <c r="C23" s="118" t="s">
        <v>3670</v>
      </c>
      <c r="D23" s="241">
        <v>29319011084</v>
      </c>
    </row>
    <row r="24" spans="2:4" x14ac:dyDescent="0.2">
      <c r="B24" s="117">
        <f t="shared" si="0"/>
        <v>20</v>
      </c>
      <c r="C24" s="118" t="s">
        <v>3697</v>
      </c>
      <c r="D24" s="241">
        <v>23844853181</v>
      </c>
    </row>
    <row r="25" spans="2:4" x14ac:dyDescent="0.2">
      <c r="B25" s="117">
        <f t="shared" si="0"/>
        <v>21</v>
      </c>
      <c r="C25" s="118" t="s">
        <v>3698</v>
      </c>
      <c r="D25" s="241">
        <v>22870091100</v>
      </c>
    </row>
    <row r="26" spans="2:4" x14ac:dyDescent="0.2">
      <c r="B26" s="117">
        <f t="shared" si="0"/>
        <v>22</v>
      </c>
      <c r="C26" s="118" t="s">
        <v>3699</v>
      </c>
      <c r="D26" s="241">
        <v>15877543503</v>
      </c>
    </row>
    <row r="27" spans="2:4" x14ac:dyDescent="0.2">
      <c r="B27" s="117">
        <f t="shared" si="0"/>
        <v>23</v>
      </c>
      <c r="C27" s="118" t="s">
        <v>3671</v>
      </c>
      <c r="D27" s="241">
        <v>12480987588</v>
      </c>
    </row>
    <row r="28" spans="2:4" x14ac:dyDescent="0.2">
      <c r="B28" s="117">
        <f t="shared" si="0"/>
        <v>24</v>
      </c>
      <c r="C28" s="118" t="s">
        <v>3700</v>
      </c>
      <c r="D28" s="241">
        <v>9884416452</v>
      </c>
    </row>
    <row r="29" spans="2:4" x14ac:dyDescent="0.2">
      <c r="B29" s="117">
        <f t="shared" si="0"/>
        <v>25</v>
      </c>
      <c r="C29" s="118" t="s">
        <v>3672</v>
      </c>
      <c r="D29" s="241">
        <v>8902086010</v>
      </c>
    </row>
    <row r="30" spans="2:4" x14ac:dyDescent="0.2">
      <c r="B30" s="117">
        <f t="shared" si="0"/>
        <v>26</v>
      </c>
      <c r="C30" s="118" t="s">
        <v>3673</v>
      </c>
      <c r="D30" s="241">
        <v>8573841540</v>
      </c>
    </row>
    <row r="31" spans="2:4" x14ac:dyDescent="0.2">
      <c r="B31" s="117">
        <f t="shared" si="0"/>
        <v>27</v>
      </c>
      <c r="C31" s="118" t="s">
        <v>3701</v>
      </c>
      <c r="D31" s="241">
        <v>8571350000</v>
      </c>
    </row>
    <row r="32" spans="2:4" x14ac:dyDescent="0.2">
      <c r="B32" s="117">
        <f t="shared" si="0"/>
        <v>28</v>
      </c>
      <c r="C32" s="118" t="s">
        <v>3674</v>
      </c>
      <c r="D32" s="241">
        <v>7578495861</v>
      </c>
    </row>
    <row r="33" spans="2:6" x14ac:dyDescent="0.2">
      <c r="B33" s="117">
        <f t="shared" si="0"/>
        <v>29</v>
      </c>
      <c r="C33" s="118" t="s">
        <v>3397</v>
      </c>
      <c r="D33" s="241">
        <v>5503785802.9473867</v>
      </c>
    </row>
    <row r="34" spans="2:6" x14ac:dyDescent="0.2">
      <c r="B34" s="117">
        <f t="shared" si="0"/>
        <v>30</v>
      </c>
      <c r="C34" s="118" t="s">
        <v>3675</v>
      </c>
      <c r="D34" s="241">
        <v>5257046696</v>
      </c>
    </row>
    <row r="35" spans="2:6" x14ac:dyDescent="0.2">
      <c r="B35" s="117">
        <f t="shared" si="0"/>
        <v>31</v>
      </c>
      <c r="C35" s="118" t="s">
        <v>3702</v>
      </c>
      <c r="D35" s="241">
        <v>4357667981</v>
      </c>
      <c r="F35" s="233"/>
    </row>
    <row r="36" spans="2:6" x14ac:dyDescent="0.2">
      <c r="B36" s="117">
        <f t="shared" si="0"/>
        <v>32</v>
      </c>
      <c r="C36" s="118" t="s">
        <v>3676</v>
      </c>
      <c r="D36" s="241">
        <v>4068938897</v>
      </c>
    </row>
    <row r="37" spans="2:6" x14ac:dyDescent="0.2">
      <c r="B37" s="117">
        <f t="shared" si="0"/>
        <v>33</v>
      </c>
      <c r="C37" s="118" t="s">
        <v>3703</v>
      </c>
      <c r="D37" s="241">
        <v>2245445201</v>
      </c>
    </row>
    <row r="38" spans="2:6" x14ac:dyDescent="0.2">
      <c r="B38" s="117">
        <f t="shared" si="0"/>
        <v>34</v>
      </c>
      <c r="C38" s="118" t="s">
        <v>3704</v>
      </c>
      <c r="D38" s="241">
        <v>1357116833</v>
      </c>
    </row>
    <row r="39" spans="2:6" x14ac:dyDescent="0.2">
      <c r="B39" s="117">
        <f t="shared" si="0"/>
        <v>35</v>
      </c>
      <c r="C39" s="118" t="s">
        <v>3677</v>
      </c>
      <c r="D39" s="241">
        <v>1350682032</v>
      </c>
    </row>
    <row r="40" spans="2:6" x14ac:dyDescent="0.2">
      <c r="B40" s="117">
        <f t="shared" si="0"/>
        <v>36</v>
      </c>
      <c r="C40" s="118" t="s">
        <v>3678</v>
      </c>
      <c r="D40" s="241">
        <v>1106280685</v>
      </c>
    </row>
    <row r="41" spans="2:6" x14ac:dyDescent="0.2">
      <c r="B41" s="117">
        <f t="shared" si="0"/>
        <v>37</v>
      </c>
      <c r="C41" s="118" t="s">
        <v>3679</v>
      </c>
      <c r="D41" s="241">
        <v>437425569</v>
      </c>
    </row>
    <row r="42" spans="2:6" x14ac:dyDescent="0.2">
      <c r="B42" s="117">
        <f t="shared" si="0"/>
        <v>38</v>
      </c>
      <c r="C42" s="118" t="s">
        <v>3680</v>
      </c>
      <c r="D42" s="241">
        <v>66708647</v>
      </c>
    </row>
    <row r="43" spans="2:6" x14ac:dyDescent="0.2">
      <c r="B43" s="117">
        <f t="shared" si="0"/>
        <v>39</v>
      </c>
      <c r="C43" s="118" t="s">
        <v>3681</v>
      </c>
      <c r="D43" s="241">
        <v>23411576</v>
      </c>
    </row>
    <row r="44" spans="2:6" x14ac:dyDescent="0.2">
      <c r="B44" s="117">
        <f t="shared" si="0"/>
        <v>40</v>
      </c>
      <c r="C44" s="118" t="s">
        <v>3682</v>
      </c>
      <c r="D44" s="241">
        <v>439758</v>
      </c>
    </row>
    <row r="45" spans="2:6" x14ac:dyDescent="0.2">
      <c r="B45" s="238"/>
      <c r="C45" s="239" t="s">
        <v>794</v>
      </c>
      <c r="D45" s="242">
        <f>SUM(D5:D44)</f>
        <v>6077692900084.5664</v>
      </c>
    </row>
    <row r="77" spans="6:6" x14ac:dyDescent="0.2">
      <c r="F77" s="233"/>
    </row>
    <row r="85" spans="6:6" x14ac:dyDescent="0.2">
      <c r="F85" s="233"/>
    </row>
    <row r="94" spans="6:6" x14ac:dyDescent="0.2">
      <c r="F94" s="233"/>
    </row>
    <row r="156" spans="6:6" x14ac:dyDescent="0.2">
      <c r="F156" s="233"/>
    </row>
    <row r="188" spans="6:6" x14ac:dyDescent="0.2">
      <c r="F188" s="233"/>
    </row>
    <row r="302" spans="6:6" x14ac:dyDescent="0.2">
      <c r="F302" s="233"/>
    </row>
  </sheetData>
  <autoFilter ref="B4:D45" xr:uid="{A5BCDAD0-A51E-4A59-B5C2-11D441190D64}"/>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E2F19-E931-4BED-80E2-2D6E8253CDD3}">
  <dimension ref="B2"/>
  <sheetViews>
    <sheetView showGridLines="0" zoomScale="70" zoomScaleNormal="70" workbookViewId="0">
      <selection activeCell="B2" sqref="B2"/>
    </sheetView>
  </sheetViews>
  <sheetFormatPr defaultColWidth="11.43359375" defaultRowHeight="15" x14ac:dyDescent="0.2"/>
  <sheetData>
    <row r="2" spans="2:2" x14ac:dyDescent="0.2">
      <c r="B2" s="3" t="s">
        <v>13</v>
      </c>
    </row>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Worksheet" dvAspect="DVASPECT_ICON" shapeId="31745" r:id="rId4">
          <objectPr defaultSize="0" r:id="rId5">
            <anchor moveWithCells="1">
              <from>
                <xdr:col>1</xdr:col>
                <xdr:colOff>449580</xdr:colOff>
                <xdr:row>4</xdr:row>
                <xdr:rowOff>99060</xdr:rowOff>
              </from>
              <to>
                <xdr:col>2</xdr:col>
                <xdr:colOff>601980</xdr:colOff>
                <xdr:row>8</xdr:row>
                <xdr:rowOff>22860</xdr:rowOff>
              </to>
            </anchor>
          </objectPr>
        </oleObject>
      </mc:Choice>
      <mc:Fallback>
        <oleObject progId="Worksheet" dvAspect="DVASPECT_ICON" shapeId="31745" r:id="rId4"/>
      </mc:Fallback>
    </mc:AlternateContent>
  </oleObjec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33196-7483-4254-BCF2-6EB8CDFE7C02}">
  <dimension ref="B1:F75"/>
  <sheetViews>
    <sheetView showGridLines="0" zoomScale="85" zoomScaleNormal="85" workbookViewId="0">
      <selection activeCell="B1" sqref="B1"/>
    </sheetView>
  </sheetViews>
  <sheetFormatPr defaultColWidth="11.43359375" defaultRowHeight="15" x14ac:dyDescent="0.2"/>
  <cols>
    <col min="2" max="2" width="13.046875" bestFit="1" customWidth="1"/>
    <col min="3" max="3" width="65.9140625" customWidth="1"/>
    <col min="6" max="6" width="22.46484375" style="1" customWidth="1"/>
  </cols>
  <sheetData>
    <row r="1" spans="2:6" x14ac:dyDescent="0.2">
      <c r="B1" s="3" t="s">
        <v>14</v>
      </c>
    </row>
    <row r="2" spans="2:6" ht="15" customHeight="1" x14ac:dyDescent="0.2">
      <c r="B2" s="8"/>
      <c r="C2" s="8"/>
      <c r="D2" s="422" t="s">
        <v>3411</v>
      </c>
      <c r="E2" s="431"/>
      <c r="F2" s="432" t="s">
        <v>3705</v>
      </c>
    </row>
    <row r="3" spans="2:6" x14ac:dyDescent="0.2">
      <c r="B3" s="113" t="s">
        <v>3706</v>
      </c>
      <c r="C3" s="113" t="s">
        <v>3707</v>
      </c>
      <c r="D3" s="113" t="s">
        <v>3708</v>
      </c>
      <c r="E3" s="113" t="s">
        <v>3709</v>
      </c>
      <c r="F3" s="432"/>
    </row>
    <row r="4" spans="2:6" ht="49.5" x14ac:dyDescent="0.2">
      <c r="B4" s="173">
        <v>1</v>
      </c>
      <c r="C4" s="174" t="s">
        <v>3710</v>
      </c>
      <c r="D4" s="175" t="s">
        <v>3711</v>
      </c>
      <c r="E4" s="175"/>
      <c r="F4" s="176" t="s">
        <v>3712</v>
      </c>
    </row>
    <row r="5" spans="2:6" ht="49.5" x14ac:dyDescent="0.2">
      <c r="B5" s="173">
        <v>2</v>
      </c>
      <c r="C5" s="174" t="s">
        <v>3713</v>
      </c>
      <c r="D5" s="175" t="s">
        <v>3711</v>
      </c>
      <c r="E5" s="175"/>
      <c r="F5" s="176" t="s">
        <v>3714</v>
      </c>
    </row>
    <row r="6" spans="2:6" ht="31.5" x14ac:dyDescent="0.2">
      <c r="B6" s="173">
        <f>B5+1</f>
        <v>3</v>
      </c>
      <c r="C6" s="174" t="s">
        <v>3715</v>
      </c>
      <c r="D6" s="175" t="s">
        <v>3711</v>
      </c>
      <c r="E6" s="175"/>
      <c r="F6" s="176" t="s">
        <v>3312</v>
      </c>
    </row>
    <row r="7" spans="2:6" ht="31.5" x14ac:dyDescent="0.2">
      <c r="B7" s="173">
        <f t="shared" ref="B7:B36" si="0">B6+1</f>
        <v>4</v>
      </c>
      <c r="C7" s="174" t="s">
        <v>3716</v>
      </c>
      <c r="D7" s="175" t="s">
        <v>3711</v>
      </c>
      <c r="E7" s="175"/>
      <c r="F7" s="176" t="s">
        <v>3312</v>
      </c>
    </row>
    <row r="8" spans="2:6" ht="30" x14ac:dyDescent="0.2">
      <c r="B8" s="173">
        <f t="shared" si="0"/>
        <v>5</v>
      </c>
      <c r="C8" s="174" t="s">
        <v>3717</v>
      </c>
      <c r="D8" s="175"/>
      <c r="E8" s="175"/>
      <c r="F8" s="176"/>
    </row>
    <row r="9" spans="2:6" ht="31.5" x14ac:dyDescent="0.2">
      <c r="B9" s="173">
        <f t="shared" si="0"/>
        <v>6</v>
      </c>
      <c r="C9" s="174" t="s">
        <v>3718</v>
      </c>
      <c r="D9" s="175" t="s">
        <v>3711</v>
      </c>
      <c r="E9" s="175"/>
      <c r="F9" s="176" t="s">
        <v>407</v>
      </c>
    </row>
    <row r="10" spans="2:6" ht="59.25" x14ac:dyDescent="0.2">
      <c r="B10" s="173">
        <f t="shared" si="0"/>
        <v>7</v>
      </c>
      <c r="C10" s="174" t="s">
        <v>3719</v>
      </c>
      <c r="D10" s="175" t="s">
        <v>3711</v>
      </c>
      <c r="E10" s="175"/>
      <c r="F10" s="176" t="s">
        <v>3720</v>
      </c>
    </row>
    <row r="11" spans="2:6" ht="59.25" x14ac:dyDescent="0.2">
      <c r="B11" s="173">
        <f t="shared" si="0"/>
        <v>8</v>
      </c>
      <c r="C11" s="174" t="s">
        <v>3721</v>
      </c>
      <c r="D11" s="175" t="s">
        <v>3711</v>
      </c>
      <c r="E11" s="175"/>
      <c r="F11" s="176" t="s">
        <v>3722</v>
      </c>
    </row>
    <row r="12" spans="2:6" ht="49.5" x14ac:dyDescent="0.2">
      <c r="B12" s="173">
        <f t="shared" si="0"/>
        <v>9</v>
      </c>
      <c r="C12" s="174" t="s">
        <v>3723</v>
      </c>
      <c r="D12" s="175" t="s">
        <v>3711</v>
      </c>
      <c r="E12" s="175"/>
      <c r="F12" s="176" t="s">
        <v>3724</v>
      </c>
    </row>
    <row r="13" spans="2:6" ht="68.25" x14ac:dyDescent="0.2">
      <c r="B13" s="173">
        <f t="shared" si="0"/>
        <v>10</v>
      </c>
      <c r="C13" s="174" t="s">
        <v>3725</v>
      </c>
      <c r="D13" s="175" t="s">
        <v>3711</v>
      </c>
      <c r="E13" s="175"/>
      <c r="F13" s="176" t="s">
        <v>3724</v>
      </c>
    </row>
    <row r="14" spans="2:6" ht="31.5" x14ac:dyDescent="0.2">
      <c r="B14" s="173">
        <f t="shared" si="0"/>
        <v>11</v>
      </c>
      <c r="C14" s="174" t="s">
        <v>3726</v>
      </c>
      <c r="D14" s="175" t="s">
        <v>3711</v>
      </c>
      <c r="E14" s="175"/>
      <c r="F14" s="176" t="s">
        <v>3727</v>
      </c>
    </row>
    <row r="15" spans="2:6" ht="31.5" x14ac:dyDescent="0.2">
      <c r="B15" s="173">
        <f t="shared" si="0"/>
        <v>12</v>
      </c>
      <c r="C15" s="174" t="s">
        <v>3728</v>
      </c>
      <c r="D15" s="175" t="s">
        <v>3711</v>
      </c>
      <c r="E15" s="175"/>
      <c r="F15" s="176" t="s">
        <v>3727</v>
      </c>
    </row>
    <row r="16" spans="2:6" ht="40.5" x14ac:dyDescent="0.2">
      <c r="B16" s="173">
        <f t="shared" si="0"/>
        <v>13</v>
      </c>
      <c r="C16" s="174" t="s">
        <v>3729</v>
      </c>
      <c r="D16" s="175" t="s">
        <v>3711</v>
      </c>
      <c r="E16" s="175" t="s">
        <v>3711</v>
      </c>
      <c r="F16" s="176" t="s">
        <v>3730</v>
      </c>
    </row>
    <row r="17" spans="2:6" ht="31.5" x14ac:dyDescent="0.2">
      <c r="B17" s="173">
        <f t="shared" si="0"/>
        <v>14</v>
      </c>
      <c r="C17" s="174" t="s">
        <v>3731</v>
      </c>
      <c r="D17" s="175" t="s">
        <v>3711</v>
      </c>
      <c r="E17" s="175"/>
      <c r="F17" s="176" t="s">
        <v>3730</v>
      </c>
    </row>
    <row r="18" spans="2:6" ht="21" x14ac:dyDescent="0.2">
      <c r="B18" s="173">
        <f t="shared" si="0"/>
        <v>15</v>
      </c>
      <c r="C18" s="174" t="s">
        <v>3732</v>
      </c>
      <c r="D18" s="175"/>
      <c r="E18" s="175"/>
      <c r="F18" s="176"/>
    </row>
    <row r="19" spans="2:6" ht="22.5" x14ac:dyDescent="0.2">
      <c r="B19" s="173">
        <f t="shared" si="0"/>
        <v>16</v>
      </c>
      <c r="C19" s="174" t="s">
        <v>3733</v>
      </c>
      <c r="D19" s="175" t="s">
        <v>3711</v>
      </c>
      <c r="E19" s="175" t="s">
        <v>3711</v>
      </c>
      <c r="F19" s="176" t="s">
        <v>3730</v>
      </c>
    </row>
    <row r="20" spans="2:6" ht="21" x14ac:dyDescent="0.2">
      <c r="B20" s="173">
        <f t="shared" si="0"/>
        <v>17</v>
      </c>
      <c r="C20" s="174" t="s">
        <v>3734</v>
      </c>
      <c r="D20" s="175"/>
      <c r="E20" s="175"/>
      <c r="F20" s="176"/>
    </row>
    <row r="21" spans="2:6" ht="21" x14ac:dyDescent="0.2">
      <c r="B21" s="173">
        <f t="shared" si="0"/>
        <v>18</v>
      </c>
      <c r="C21" s="174" t="s">
        <v>3735</v>
      </c>
      <c r="D21" s="175"/>
      <c r="E21" s="175"/>
      <c r="F21" s="176"/>
    </row>
    <row r="22" spans="2:6" ht="21" x14ac:dyDescent="0.2">
      <c r="B22" s="173">
        <f t="shared" si="0"/>
        <v>19</v>
      </c>
      <c r="C22" s="174" t="s">
        <v>3736</v>
      </c>
      <c r="D22" s="175"/>
      <c r="E22" s="175"/>
      <c r="F22" s="176"/>
    </row>
    <row r="23" spans="2:6" ht="31.5" x14ac:dyDescent="0.2">
      <c r="B23" s="173">
        <f t="shared" si="0"/>
        <v>20</v>
      </c>
      <c r="C23" s="174" t="s">
        <v>3737</v>
      </c>
      <c r="D23" s="175" t="s">
        <v>3711</v>
      </c>
      <c r="E23" s="175" t="s">
        <v>3711</v>
      </c>
      <c r="F23" s="176" t="s">
        <v>3730</v>
      </c>
    </row>
    <row r="24" spans="2:6" ht="40.5" x14ac:dyDescent="0.2">
      <c r="B24" s="173">
        <f t="shared" si="0"/>
        <v>21</v>
      </c>
      <c r="C24" s="174" t="s">
        <v>3738</v>
      </c>
      <c r="D24" s="175" t="s">
        <v>3711</v>
      </c>
      <c r="E24" s="175" t="s">
        <v>3711</v>
      </c>
      <c r="F24" s="176" t="s">
        <v>3730</v>
      </c>
    </row>
    <row r="25" spans="2:6" ht="40.5" x14ac:dyDescent="0.2">
      <c r="B25" s="173">
        <f t="shared" si="0"/>
        <v>22</v>
      </c>
      <c r="C25" s="174" t="s">
        <v>3739</v>
      </c>
      <c r="D25" s="175" t="s">
        <v>3711</v>
      </c>
      <c r="E25" s="175" t="s">
        <v>3711</v>
      </c>
      <c r="F25" s="176" t="s">
        <v>3730</v>
      </c>
    </row>
    <row r="26" spans="2:6" ht="22.5" x14ac:dyDescent="0.2">
      <c r="B26" s="173">
        <f t="shared" si="0"/>
        <v>23</v>
      </c>
      <c r="C26" s="174" t="s">
        <v>3740</v>
      </c>
      <c r="D26" s="175" t="s">
        <v>3711</v>
      </c>
      <c r="E26" s="175" t="s">
        <v>3711</v>
      </c>
      <c r="F26" s="176" t="s">
        <v>3741</v>
      </c>
    </row>
    <row r="27" spans="2:6" ht="22.5" x14ac:dyDescent="0.2">
      <c r="B27" s="173">
        <f t="shared" si="0"/>
        <v>24</v>
      </c>
      <c r="C27" s="174" t="s">
        <v>3742</v>
      </c>
      <c r="D27" s="175" t="s">
        <v>3711</v>
      </c>
      <c r="E27" s="175" t="s">
        <v>3711</v>
      </c>
      <c r="F27" s="176" t="s">
        <v>3730</v>
      </c>
    </row>
    <row r="28" spans="2:6" ht="39" x14ac:dyDescent="0.2">
      <c r="B28" s="173">
        <f t="shared" si="0"/>
        <v>25</v>
      </c>
      <c r="C28" s="174" t="s">
        <v>3743</v>
      </c>
      <c r="D28" s="175"/>
      <c r="E28" s="175"/>
      <c r="F28" s="176"/>
    </row>
    <row r="29" spans="2:6" ht="31.5" x14ac:dyDescent="0.2">
      <c r="B29" s="173">
        <f t="shared" si="0"/>
        <v>26</v>
      </c>
      <c r="C29" s="174" t="s">
        <v>3744</v>
      </c>
      <c r="D29" s="175" t="s">
        <v>3711</v>
      </c>
      <c r="E29" s="175" t="s">
        <v>3711</v>
      </c>
      <c r="F29" s="176" t="s">
        <v>3741</v>
      </c>
    </row>
    <row r="30" spans="2:6" ht="40.5" x14ac:dyDescent="0.2">
      <c r="B30" s="173">
        <f t="shared" si="0"/>
        <v>27</v>
      </c>
      <c r="C30" s="174" t="s">
        <v>3745</v>
      </c>
      <c r="D30" s="175" t="s">
        <v>3711</v>
      </c>
      <c r="E30" s="175" t="s">
        <v>3711</v>
      </c>
      <c r="F30" s="176" t="s">
        <v>3730</v>
      </c>
    </row>
    <row r="31" spans="2:6" ht="31.5" x14ac:dyDescent="0.2">
      <c r="B31" s="173">
        <f t="shared" si="0"/>
        <v>28</v>
      </c>
      <c r="C31" s="174" t="s">
        <v>3746</v>
      </c>
      <c r="D31" s="175" t="s">
        <v>3711</v>
      </c>
      <c r="E31" s="175" t="s">
        <v>3711</v>
      </c>
      <c r="F31" s="176" t="s">
        <v>3741</v>
      </c>
    </row>
    <row r="32" spans="2:6" ht="21" x14ac:dyDescent="0.2">
      <c r="B32" s="173">
        <f t="shared" si="0"/>
        <v>29</v>
      </c>
      <c r="C32" s="174" t="s">
        <v>3747</v>
      </c>
      <c r="D32" s="175"/>
      <c r="E32" s="175"/>
      <c r="F32" s="176"/>
    </row>
    <row r="33" spans="2:6" ht="31.5" x14ac:dyDescent="0.2">
      <c r="B33" s="173">
        <f t="shared" si="0"/>
        <v>30</v>
      </c>
      <c r="C33" s="174" t="s">
        <v>3748</v>
      </c>
      <c r="D33" s="175" t="s">
        <v>3711</v>
      </c>
      <c r="E33" s="175" t="s">
        <v>3711</v>
      </c>
      <c r="F33" s="176" t="s">
        <v>3730</v>
      </c>
    </row>
    <row r="34" spans="2:6" ht="22.5" x14ac:dyDescent="0.2">
      <c r="B34" s="173">
        <f t="shared" si="0"/>
        <v>31</v>
      </c>
      <c r="C34" s="174" t="s">
        <v>3749</v>
      </c>
      <c r="D34" s="175" t="s">
        <v>3711</v>
      </c>
      <c r="E34" s="175" t="s">
        <v>3711</v>
      </c>
      <c r="F34" s="176" t="s">
        <v>3741</v>
      </c>
    </row>
    <row r="35" spans="2:6" ht="22.5" x14ac:dyDescent="0.2">
      <c r="B35" s="173">
        <f t="shared" si="0"/>
        <v>32</v>
      </c>
      <c r="C35" s="174" t="s">
        <v>3750</v>
      </c>
      <c r="D35" s="175" t="s">
        <v>3711</v>
      </c>
      <c r="E35" s="175" t="s">
        <v>3711</v>
      </c>
      <c r="F35" s="176" t="s">
        <v>3730</v>
      </c>
    </row>
    <row r="36" spans="2:6" ht="49.5" x14ac:dyDescent="0.2">
      <c r="B36" s="173">
        <f t="shared" si="0"/>
        <v>33</v>
      </c>
      <c r="C36" s="174" t="s">
        <v>3751</v>
      </c>
      <c r="D36" s="175" t="s">
        <v>3711</v>
      </c>
      <c r="E36" s="175"/>
      <c r="F36" s="176" t="s">
        <v>3393</v>
      </c>
    </row>
    <row r="37" spans="2:6" x14ac:dyDescent="0.2">
      <c r="B37" s="173"/>
      <c r="C37" s="174" t="s">
        <v>3752</v>
      </c>
      <c r="D37" s="175"/>
      <c r="E37" s="175"/>
      <c r="F37" s="176"/>
    </row>
    <row r="38" spans="2:6" x14ac:dyDescent="0.2">
      <c r="B38" s="173"/>
      <c r="C38" s="174" t="s">
        <v>3753</v>
      </c>
      <c r="D38" s="175"/>
      <c r="E38" s="175"/>
      <c r="F38" s="176"/>
    </row>
    <row r="39" spans="2:6" x14ac:dyDescent="0.2">
      <c r="B39" s="173"/>
      <c r="C39" s="174" t="s">
        <v>3754</v>
      </c>
      <c r="D39" s="175"/>
      <c r="E39" s="175"/>
      <c r="F39" s="176"/>
    </row>
    <row r="40" spans="2:6" ht="59.25" x14ac:dyDescent="0.2">
      <c r="B40" s="173">
        <v>34</v>
      </c>
      <c r="C40" s="174" t="s">
        <v>3755</v>
      </c>
      <c r="D40" s="175" t="s">
        <v>3711</v>
      </c>
      <c r="E40" s="175" t="s">
        <v>3711</v>
      </c>
      <c r="F40" s="176" t="s">
        <v>3756</v>
      </c>
    </row>
    <row r="41" spans="2:6" ht="22.5" x14ac:dyDescent="0.2">
      <c r="B41" s="173">
        <f>B40+1</f>
        <v>35</v>
      </c>
      <c r="C41" s="174" t="s">
        <v>3757</v>
      </c>
      <c r="D41" s="175" t="s">
        <v>3711</v>
      </c>
      <c r="E41" s="175" t="s">
        <v>3711</v>
      </c>
      <c r="F41" s="176" t="s">
        <v>3393</v>
      </c>
    </row>
    <row r="42" spans="2:6" ht="31.5" x14ac:dyDescent="0.2">
      <c r="B42" s="173">
        <f t="shared" ref="B42:B75" si="1">B41+1</f>
        <v>36</v>
      </c>
      <c r="C42" s="174" t="s">
        <v>3758</v>
      </c>
      <c r="D42" s="175" t="s">
        <v>3711</v>
      </c>
      <c r="E42" s="175"/>
      <c r="F42" s="176" t="s">
        <v>3759</v>
      </c>
    </row>
    <row r="43" spans="2:6" ht="22.5" x14ac:dyDescent="0.2">
      <c r="B43" s="173">
        <f t="shared" si="1"/>
        <v>37</v>
      </c>
      <c r="C43" s="174" t="s">
        <v>3760</v>
      </c>
      <c r="D43" s="175" t="s">
        <v>3711</v>
      </c>
      <c r="E43" s="175"/>
      <c r="F43" s="176" t="s">
        <v>3761</v>
      </c>
    </row>
    <row r="44" spans="2:6" ht="30" x14ac:dyDescent="0.2">
      <c r="B44" s="173">
        <f t="shared" si="1"/>
        <v>38</v>
      </c>
      <c r="C44" s="174" t="s">
        <v>3762</v>
      </c>
      <c r="D44" s="175"/>
      <c r="E44" s="175"/>
      <c r="F44" s="176"/>
    </row>
    <row r="45" spans="2:6" ht="31.5" x14ac:dyDescent="0.2">
      <c r="B45" s="173">
        <f t="shared" si="1"/>
        <v>39</v>
      </c>
      <c r="C45" s="174" t="s">
        <v>3763</v>
      </c>
      <c r="D45" s="175" t="s">
        <v>3711</v>
      </c>
      <c r="E45" s="175"/>
      <c r="F45" s="176" t="s">
        <v>3759</v>
      </c>
    </row>
    <row r="46" spans="2:6" ht="21" x14ac:dyDescent="0.2">
      <c r="B46" s="173">
        <f t="shared" si="1"/>
        <v>40</v>
      </c>
      <c r="C46" s="174" t="s">
        <v>3764</v>
      </c>
      <c r="D46" s="175" t="s">
        <v>3711</v>
      </c>
      <c r="E46" s="175"/>
      <c r="F46" s="176" t="s">
        <v>3759</v>
      </c>
    </row>
    <row r="47" spans="2:6" ht="31.5" x14ac:dyDescent="0.2">
      <c r="B47" s="173">
        <f t="shared" si="1"/>
        <v>41</v>
      </c>
      <c r="C47" s="174" t="s">
        <v>3765</v>
      </c>
      <c r="D47" s="175" t="s">
        <v>3711</v>
      </c>
      <c r="E47" s="175"/>
      <c r="F47" s="176" t="s">
        <v>3766</v>
      </c>
    </row>
    <row r="48" spans="2:6" ht="31.5" x14ac:dyDescent="0.2">
      <c r="B48" s="173">
        <f t="shared" si="1"/>
        <v>42</v>
      </c>
      <c r="C48" s="174" t="s">
        <v>3767</v>
      </c>
      <c r="D48" s="175" t="s">
        <v>3711</v>
      </c>
      <c r="E48" s="175"/>
      <c r="F48" s="176" t="s">
        <v>3766</v>
      </c>
    </row>
    <row r="49" spans="2:6" x14ac:dyDescent="0.2">
      <c r="B49" s="173">
        <f t="shared" si="1"/>
        <v>43</v>
      </c>
      <c r="C49" s="174" t="s">
        <v>3692</v>
      </c>
      <c r="D49" s="175"/>
      <c r="E49" s="175"/>
      <c r="F49" s="176" t="s">
        <v>3766</v>
      </c>
    </row>
    <row r="50" spans="2:6" ht="31.5" x14ac:dyDescent="0.2">
      <c r="B50" s="173">
        <f t="shared" si="1"/>
        <v>44</v>
      </c>
      <c r="C50" s="174" t="s">
        <v>3768</v>
      </c>
      <c r="D50" s="175" t="s">
        <v>3711</v>
      </c>
      <c r="E50" s="175"/>
      <c r="F50" s="176" t="s">
        <v>682</v>
      </c>
    </row>
    <row r="51" spans="2:6" ht="40.5" x14ac:dyDescent="0.2">
      <c r="B51" s="173">
        <f t="shared" si="1"/>
        <v>45</v>
      </c>
      <c r="C51" s="177" t="s">
        <v>3769</v>
      </c>
      <c r="D51" s="175" t="s">
        <v>3711</v>
      </c>
      <c r="E51" s="175"/>
      <c r="F51" s="176" t="s">
        <v>682</v>
      </c>
    </row>
    <row r="52" spans="2:6" ht="40.5" x14ac:dyDescent="0.2">
      <c r="B52" s="173">
        <f t="shared" si="1"/>
        <v>46</v>
      </c>
      <c r="C52" s="177" t="s">
        <v>3770</v>
      </c>
      <c r="D52" s="175" t="s">
        <v>3711</v>
      </c>
      <c r="E52" s="175"/>
      <c r="F52" s="176" t="s">
        <v>682</v>
      </c>
    </row>
    <row r="53" spans="2:6" ht="31.5" x14ac:dyDescent="0.2">
      <c r="B53" s="173">
        <f t="shared" si="1"/>
        <v>47</v>
      </c>
      <c r="C53" s="177" t="s">
        <v>3771</v>
      </c>
      <c r="D53" s="175" t="s">
        <v>3711</v>
      </c>
      <c r="E53" s="175"/>
      <c r="F53" s="176" t="s">
        <v>682</v>
      </c>
    </row>
    <row r="54" spans="2:6" x14ac:dyDescent="0.2">
      <c r="B54" s="173">
        <v>48</v>
      </c>
      <c r="C54" s="174" t="s">
        <v>3772</v>
      </c>
      <c r="D54" s="173"/>
      <c r="E54" s="173"/>
      <c r="F54" s="178" t="s">
        <v>682</v>
      </c>
    </row>
    <row r="55" spans="2:6" x14ac:dyDescent="0.2">
      <c r="B55" s="173">
        <f t="shared" si="1"/>
        <v>49</v>
      </c>
      <c r="C55" s="174" t="s">
        <v>3773</v>
      </c>
      <c r="D55" s="175" t="s">
        <v>3711</v>
      </c>
      <c r="E55" s="175"/>
      <c r="F55" s="176" t="s">
        <v>3393</v>
      </c>
    </row>
    <row r="56" spans="2:6" ht="31.5" x14ac:dyDescent="0.2">
      <c r="B56" s="173">
        <f t="shared" si="1"/>
        <v>50</v>
      </c>
      <c r="C56" s="174" t="s">
        <v>3774</v>
      </c>
      <c r="D56" s="175" t="s">
        <v>3711</v>
      </c>
      <c r="E56" s="175" t="s">
        <v>3711</v>
      </c>
      <c r="F56" s="176" t="s">
        <v>3775</v>
      </c>
    </row>
    <row r="57" spans="2:6" ht="21" x14ac:dyDescent="0.2">
      <c r="B57" s="173">
        <f t="shared" si="1"/>
        <v>51</v>
      </c>
      <c r="C57" s="174" t="s">
        <v>3776</v>
      </c>
      <c r="D57" s="175"/>
      <c r="E57" s="175"/>
      <c r="F57" s="176"/>
    </row>
    <row r="58" spans="2:6" x14ac:dyDescent="0.2">
      <c r="B58" s="173">
        <f t="shared" si="1"/>
        <v>52</v>
      </c>
      <c r="C58" s="174" t="s">
        <v>3777</v>
      </c>
      <c r="D58" s="175" t="s">
        <v>3711</v>
      </c>
      <c r="E58" s="175" t="s">
        <v>3711</v>
      </c>
      <c r="F58" s="176" t="s">
        <v>3408</v>
      </c>
    </row>
    <row r="59" spans="2:6" ht="22.5" x14ac:dyDescent="0.2">
      <c r="B59" s="173">
        <f t="shared" si="1"/>
        <v>53</v>
      </c>
      <c r="C59" s="174" t="s">
        <v>3778</v>
      </c>
      <c r="D59" s="175" t="s">
        <v>3711</v>
      </c>
      <c r="E59" s="175" t="s">
        <v>3711</v>
      </c>
      <c r="F59" s="176" t="s">
        <v>3779</v>
      </c>
    </row>
    <row r="60" spans="2:6" ht="22.5" x14ac:dyDescent="0.2">
      <c r="B60" s="173">
        <f t="shared" si="1"/>
        <v>54</v>
      </c>
      <c r="C60" s="174" t="s">
        <v>3780</v>
      </c>
      <c r="D60" s="175" t="s">
        <v>3711</v>
      </c>
      <c r="E60" s="175"/>
      <c r="F60" s="176" t="s">
        <v>3781</v>
      </c>
    </row>
    <row r="61" spans="2:6" ht="48" x14ac:dyDescent="0.2">
      <c r="B61" s="173">
        <f t="shared" si="1"/>
        <v>55</v>
      </c>
      <c r="C61" s="174" t="s">
        <v>3782</v>
      </c>
      <c r="D61" s="175"/>
      <c r="E61" s="175"/>
      <c r="F61" s="176"/>
    </row>
    <row r="62" spans="2:6" x14ac:dyDescent="0.2">
      <c r="B62" s="173">
        <f t="shared" si="1"/>
        <v>56</v>
      </c>
      <c r="C62" s="174" t="s">
        <v>3783</v>
      </c>
      <c r="D62" s="175"/>
      <c r="E62" s="175"/>
      <c r="F62" s="176"/>
    </row>
    <row r="63" spans="2:6" ht="22.5" x14ac:dyDescent="0.2">
      <c r="B63" s="173">
        <f t="shared" si="1"/>
        <v>57</v>
      </c>
      <c r="C63" s="174" t="s">
        <v>3784</v>
      </c>
      <c r="D63" s="175" t="s">
        <v>3711</v>
      </c>
      <c r="E63" s="175"/>
      <c r="F63" s="176" t="s">
        <v>3781</v>
      </c>
    </row>
    <row r="64" spans="2:6" ht="22.5" x14ac:dyDescent="0.2">
      <c r="B64" s="173">
        <f t="shared" si="1"/>
        <v>58</v>
      </c>
      <c r="C64" s="174" t="s">
        <v>3785</v>
      </c>
      <c r="D64" s="175" t="s">
        <v>3711</v>
      </c>
      <c r="E64" s="175"/>
      <c r="F64" s="176" t="s">
        <v>3398</v>
      </c>
    </row>
    <row r="65" spans="2:6" ht="84.75" x14ac:dyDescent="0.2">
      <c r="B65" s="173">
        <f t="shared" si="1"/>
        <v>59</v>
      </c>
      <c r="C65" s="174" t="s">
        <v>3786</v>
      </c>
      <c r="D65" s="175" t="s">
        <v>3711</v>
      </c>
      <c r="E65" s="175"/>
      <c r="F65" s="176" t="s">
        <v>3398</v>
      </c>
    </row>
    <row r="66" spans="2:6" ht="22.5" x14ac:dyDescent="0.2">
      <c r="B66" s="173">
        <f t="shared" si="1"/>
        <v>60</v>
      </c>
      <c r="C66" s="174" t="s">
        <v>3787</v>
      </c>
      <c r="D66" s="175" t="s">
        <v>3711</v>
      </c>
      <c r="E66" s="175" t="s">
        <v>3711</v>
      </c>
      <c r="F66" s="176" t="s">
        <v>696</v>
      </c>
    </row>
    <row r="67" spans="2:6" ht="31.5" x14ac:dyDescent="0.2">
      <c r="B67" s="173">
        <f t="shared" si="1"/>
        <v>61</v>
      </c>
      <c r="C67" s="174" t="s">
        <v>3788</v>
      </c>
      <c r="D67" s="175" t="s">
        <v>3711</v>
      </c>
      <c r="E67" s="175" t="s">
        <v>3711</v>
      </c>
      <c r="F67" s="176" t="s">
        <v>3789</v>
      </c>
    </row>
    <row r="68" spans="2:6" ht="40.5" x14ac:dyDescent="0.2">
      <c r="B68" s="173">
        <f t="shared" si="1"/>
        <v>62</v>
      </c>
      <c r="C68" s="174" t="s">
        <v>3790</v>
      </c>
      <c r="D68" s="175" t="s">
        <v>3711</v>
      </c>
      <c r="E68" s="175" t="s">
        <v>3711</v>
      </c>
      <c r="F68" s="176" t="s">
        <v>696</v>
      </c>
    </row>
    <row r="69" spans="2:6" x14ac:dyDescent="0.2">
      <c r="B69" s="173">
        <f t="shared" si="1"/>
        <v>63</v>
      </c>
      <c r="C69" s="174" t="s">
        <v>3791</v>
      </c>
      <c r="D69" s="175" t="s">
        <v>3711</v>
      </c>
      <c r="E69" s="175"/>
      <c r="F69" s="176" t="s">
        <v>3792</v>
      </c>
    </row>
    <row r="70" spans="2:6" x14ac:dyDescent="0.2">
      <c r="B70" s="173">
        <v>66</v>
      </c>
      <c r="C70" s="174" t="s">
        <v>3793</v>
      </c>
      <c r="D70" s="175" t="s">
        <v>3711</v>
      </c>
      <c r="E70" s="175"/>
      <c r="F70" s="176" t="s">
        <v>3792</v>
      </c>
    </row>
    <row r="71" spans="2:6" ht="49.5" x14ac:dyDescent="0.2">
      <c r="B71" s="173">
        <f t="shared" si="1"/>
        <v>67</v>
      </c>
      <c r="C71" s="174" t="s">
        <v>3794</v>
      </c>
      <c r="D71" s="175" t="s">
        <v>3711</v>
      </c>
      <c r="E71" s="175"/>
      <c r="F71" s="176" t="s">
        <v>3795</v>
      </c>
    </row>
    <row r="72" spans="2:6" ht="49.5" x14ac:dyDescent="0.2">
      <c r="B72" s="173">
        <f t="shared" si="1"/>
        <v>68</v>
      </c>
      <c r="C72" s="174" t="s">
        <v>3796</v>
      </c>
      <c r="D72" s="175" t="s">
        <v>3711</v>
      </c>
      <c r="E72" s="175"/>
      <c r="F72" s="176" t="s">
        <v>696</v>
      </c>
    </row>
    <row r="73" spans="2:6" ht="31.5" x14ac:dyDescent="0.2">
      <c r="B73" s="173">
        <f t="shared" si="1"/>
        <v>69</v>
      </c>
      <c r="C73" s="174" t="s">
        <v>3797</v>
      </c>
      <c r="D73" s="175" t="s">
        <v>3711</v>
      </c>
      <c r="E73" s="175"/>
      <c r="F73" s="176" t="s">
        <v>3789</v>
      </c>
    </row>
    <row r="74" spans="2:6" ht="21" x14ac:dyDescent="0.2">
      <c r="B74" s="173">
        <f t="shared" si="1"/>
        <v>70</v>
      </c>
      <c r="C74" s="174" t="s">
        <v>3798</v>
      </c>
      <c r="D74" s="175" t="s">
        <v>3711</v>
      </c>
      <c r="E74" s="175"/>
      <c r="F74" s="176" t="s">
        <v>3799</v>
      </c>
    </row>
    <row r="75" spans="2:6" x14ac:dyDescent="0.2">
      <c r="B75" s="173">
        <f t="shared" si="1"/>
        <v>71</v>
      </c>
      <c r="C75" s="174" t="s">
        <v>3800</v>
      </c>
      <c r="D75" s="175" t="s">
        <v>3711</v>
      </c>
      <c r="E75" s="175"/>
      <c r="F75" s="176" t="s">
        <v>696</v>
      </c>
    </row>
  </sheetData>
  <mergeCells count="2">
    <mergeCell ref="D2:E2"/>
    <mergeCell ref="F2:F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C8114-897D-430C-B840-428FDED1DDE1}">
  <dimension ref="B1:E595"/>
  <sheetViews>
    <sheetView showGridLines="0" zoomScale="85" zoomScaleNormal="85" workbookViewId="0">
      <selection activeCell="B3" sqref="B3"/>
    </sheetView>
  </sheetViews>
  <sheetFormatPr defaultColWidth="11.56640625" defaultRowHeight="13.5" x14ac:dyDescent="0.2"/>
  <cols>
    <col min="1" max="1" width="5.6484375" style="4" customWidth="1"/>
    <col min="2" max="2" width="11.56640625" style="78"/>
    <col min="3" max="3" width="86.09375" style="4" bestFit="1" customWidth="1"/>
    <col min="4" max="4" width="11.56640625" style="4"/>
    <col min="5" max="5" width="25.828125" style="4" bestFit="1" customWidth="1"/>
    <col min="6" max="16384" width="11.56640625" style="4"/>
  </cols>
  <sheetData>
    <row r="1" spans="2:5" ht="14.25" x14ac:dyDescent="0.15">
      <c r="B1" s="128" t="s">
        <v>63</v>
      </c>
    </row>
    <row r="3" spans="2:5" ht="12" x14ac:dyDescent="0.15">
      <c r="B3" s="129" t="s">
        <v>22</v>
      </c>
      <c r="C3" s="112" t="s">
        <v>64</v>
      </c>
      <c r="D3" s="112" t="s">
        <v>65</v>
      </c>
      <c r="E3" s="112" t="s">
        <v>66</v>
      </c>
    </row>
    <row r="4" spans="2:5" ht="12" x14ac:dyDescent="0.15">
      <c r="B4" s="130">
        <v>1</v>
      </c>
      <c r="C4" s="118" t="s">
        <v>67</v>
      </c>
      <c r="D4" s="118" t="s">
        <v>68</v>
      </c>
      <c r="E4" s="118" t="s">
        <v>69</v>
      </c>
    </row>
    <row r="5" spans="2:5" ht="12" x14ac:dyDescent="0.15">
      <c r="B5" s="130">
        <v>2</v>
      </c>
      <c r="C5" s="118" t="s">
        <v>70</v>
      </c>
      <c r="D5" s="118" t="s">
        <v>68</v>
      </c>
      <c r="E5" s="118" t="s">
        <v>69</v>
      </c>
    </row>
    <row r="6" spans="2:5" ht="12" x14ac:dyDescent="0.15">
      <c r="B6" s="130">
        <v>3</v>
      </c>
      <c r="C6" s="118" t="s">
        <v>71</v>
      </c>
      <c r="D6" s="118" t="s">
        <v>72</v>
      </c>
      <c r="E6" s="118" t="s">
        <v>69</v>
      </c>
    </row>
    <row r="7" spans="2:5" ht="12" x14ac:dyDescent="0.15">
      <c r="B7" s="130">
        <v>4</v>
      </c>
      <c r="C7" s="118" t="s">
        <v>73</v>
      </c>
      <c r="D7" s="118" t="s">
        <v>68</v>
      </c>
      <c r="E7" s="118" t="s">
        <v>69</v>
      </c>
    </row>
    <row r="8" spans="2:5" ht="12" x14ac:dyDescent="0.15">
      <c r="B8" s="130">
        <v>5</v>
      </c>
      <c r="C8" s="118" t="s">
        <v>74</v>
      </c>
      <c r="D8" s="118" t="s">
        <v>72</v>
      </c>
      <c r="E8" s="118" t="s">
        <v>69</v>
      </c>
    </row>
    <row r="9" spans="2:5" ht="12" x14ac:dyDescent="0.15">
      <c r="B9" s="130">
        <v>6</v>
      </c>
      <c r="C9" s="118" t="s">
        <v>75</v>
      </c>
      <c r="D9" s="118" t="s">
        <v>76</v>
      </c>
      <c r="E9" s="118" t="s">
        <v>69</v>
      </c>
    </row>
    <row r="10" spans="2:5" ht="12" x14ac:dyDescent="0.15">
      <c r="B10" s="130">
        <v>7</v>
      </c>
      <c r="C10" s="118" t="s">
        <v>77</v>
      </c>
      <c r="D10" s="118" t="s">
        <v>78</v>
      </c>
      <c r="E10" s="118" t="s">
        <v>69</v>
      </c>
    </row>
    <row r="11" spans="2:5" ht="12" x14ac:dyDescent="0.15">
      <c r="B11" s="130">
        <v>8</v>
      </c>
      <c r="C11" s="118" t="s">
        <v>79</v>
      </c>
      <c r="D11" s="118" t="s">
        <v>68</v>
      </c>
      <c r="E11" s="118" t="s">
        <v>69</v>
      </c>
    </row>
    <row r="12" spans="2:5" ht="12" x14ac:dyDescent="0.15">
      <c r="B12" s="130">
        <v>9</v>
      </c>
      <c r="C12" s="118" t="s">
        <v>80</v>
      </c>
      <c r="D12" s="118" t="s">
        <v>72</v>
      </c>
      <c r="E12" s="118" t="s">
        <v>69</v>
      </c>
    </row>
    <row r="13" spans="2:5" ht="12" x14ac:dyDescent="0.15">
      <c r="B13" s="130">
        <v>10</v>
      </c>
      <c r="C13" s="118" t="s">
        <v>81</v>
      </c>
      <c r="D13" s="118" t="s">
        <v>68</v>
      </c>
      <c r="E13" s="118" t="s">
        <v>69</v>
      </c>
    </row>
    <row r="14" spans="2:5" ht="12" x14ac:dyDescent="0.15">
      <c r="B14" s="130">
        <v>11</v>
      </c>
      <c r="C14" s="118" t="s">
        <v>82</v>
      </c>
      <c r="D14" s="118" t="s">
        <v>76</v>
      </c>
      <c r="E14" s="118" t="s">
        <v>69</v>
      </c>
    </row>
    <row r="15" spans="2:5" ht="12" x14ac:dyDescent="0.15">
      <c r="B15" s="130">
        <v>12</v>
      </c>
      <c r="C15" s="118" t="s">
        <v>83</v>
      </c>
      <c r="D15" s="118" t="s">
        <v>72</v>
      </c>
      <c r="E15" s="118" t="s">
        <v>69</v>
      </c>
    </row>
    <row r="16" spans="2:5" ht="12" x14ac:dyDescent="0.15">
      <c r="B16" s="130">
        <v>13</v>
      </c>
      <c r="C16" s="118" t="s">
        <v>84</v>
      </c>
      <c r="D16" s="118" t="s">
        <v>85</v>
      </c>
      <c r="E16" s="118" t="s">
        <v>69</v>
      </c>
    </row>
    <row r="17" spans="2:5" ht="12" x14ac:dyDescent="0.15">
      <c r="B17" s="130">
        <v>14</v>
      </c>
      <c r="C17" s="118" t="s">
        <v>86</v>
      </c>
      <c r="D17" s="118" t="s">
        <v>68</v>
      </c>
      <c r="E17" s="118" t="s">
        <v>69</v>
      </c>
    </row>
    <row r="18" spans="2:5" ht="12" x14ac:dyDescent="0.15">
      <c r="B18" s="130">
        <v>15</v>
      </c>
      <c r="C18" s="118" t="s">
        <v>87</v>
      </c>
      <c r="D18" s="118" t="s">
        <v>78</v>
      </c>
      <c r="E18" s="118" t="s">
        <v>69</v>
      </c>
    </row>
    <row r="19" spans="2:5" ht="12" x14ac:dyDescent="0.15">
      <c r="B19" s="130">
        <v>16</v>
      </c>
      <c r="C19" s="118" t="s">
        <v>88</v>
      </c>
      <c r="D19" s="118" t="s">
        <v>72</v>
      </c>
      <c r="E19" s="118" t="s">
        <v>69</v>
      </c>
    </row>
    <row r="20" spans="2:5" ht="12" x14ac:dyDescent="0.15">
      <c r="B20" s="130">
        <v>17</v>
      </c>
      <c r="C20" s="118" t="s">
        <v>89</v>
      </c>
      <c r="D20" s="118" t="s">
        <v>72</v>
      </c>
      <c r="E20" s="118" t="s">
        <v>69</v>
      </c>
    </row>
    <row r="21" spans="2:5" ht="12" x14ac:dyDescent="0.15">
      <c r="B21" s="130">
        <v>18</v>
      </c>
      <c r="C21" s="118" t="s">
        <v>90</v>
      </c>
      <c r="D21" s="118" t="s">
        <v>91</v>
      </c>
      <c r="E21" s="118" t="s">
        <v>69</v>
      </c>
    </row>
    <row r="22" spans="2:5" ht="12" x14ac:dyDescent="0.15">
      <c r="B22" s="130">
        <v>19</v>
      </c>
      <c r="C22" s="118" t="s">
        <v>92</v>
      </c>
      <c r="D22" s="118" t="s">
        <v>72</v>
      </c>
      <c r="E22" s="118" t="s">
        <v>69</v>
      </c>
    </row>
    <row r="23" spans="2:5" ht="12" x14ac:dyDescent="0.15">
      <c r="B23" s="130">
        <v>20</v>
      </c>
      <c r="C23" s="118" t="s">
        <v>93</v>
      </c>
      <c r="D23" s="118" t="s">
        <v>72</v>
      </c>
      <c r="E23" s="118" t="s">
        <v>69</v>
      </c>
    </row>
    <row r="24" spans="2:5" ht="12" x14ac:dyDescent="0.15">
      <c r="B24" s="130">
        <v>21</v>
      </c>
      <c r="C24" s="118" t="s">
        <v>94</v>
      </c>
      <c r="D24" s="118" t="s">
        <v>68</v>
      </c>
      <c r="E24" s="118" t="s">
        <v>69</v>
      </c>
    </row>
    <row r="25" spans="2:5" ht="12" x14ac:dyDescent="0.15">
      <c r="B25" s="130">
        <v>22</v>
      </c>
      <c r="C25" s="118" t="s">
        <v>95</v>
      </c>
      <c r="D25" s="118" t="s">
        <v>76</v>
      </c>
      <c r="E25" s="118" t="s">
        <v>69</v>
      </c>
    </row>
    <row r="26" spans="2:5" ht="12" x14ac:dyDescent="0.15">
      <c r="B26" s="130">
        <v>23</v>
      </c>
      <c r="C26" s="118" t="s">
        <v>96</v>
      </c>
      <c r="D26" s="118" t="s">
        <v>78</v>
      </c>
      <c r="E26" s="118" t="s">
        <v>69</v>
      </c>
    </row>
    <row r="27" spans="2:5" ht="12" x14ac:dyDescent="0.15">
      <c r="B27" s="130">
        <v>24</v>
      </c>
      <c r="C27" s="118" t="s">
        <v>97</v>
      </c>
      <c r="D27" s="118" t="s">
        <v>72</v>
      </c>
      <c r="E27" s="118" t="s">
        <v>69</v>
      </c>
    </row>
    <row r="28" spans="2:5" ht="12" x14ac:dyDescent="0.15">
      <c r="B28" s="130">
        <v>25</v>
      </c>
      <c r="C28" s="118" t="s">
        <v>98</v>
      </c>
      <c r="D28" s="118" t="s">
        <v>72</v>
      </c>
      <c r="E28" s="118" t="s">
        <v>69</v>
      </c>
    </row>
    <row r="29" spans="2:5" ht="12" x14ac:dyDescent="0.15">
      <c r="B29" s="130">
        <v>26</v>
      </c>
      <c r="C29" s="118" t="s">
        <v>99</v>
      </c>
      <c r="D29" s="118" t="s">
        <v>72</v>
      </c>
      <c r="E29" s="118" t="s">
        <v>69</v>
      </c>
    </row>
    <row r="30" spans="2:5" ht="12" x14ac:dyDescent="0.15">
      <c r="B30" s="130">
        <v>27</v>
      </c>
      <c r="C30" s="118" t="s">
        <v>100</v>
      </c>
      <c r="D30" s="118" t="s">
        <v>72</v>
      </c>
      <c r="E30" s="118" t="s">
        <v>69</v>
      </c>
    </row>
    <row r="31" spans="2:5" ht="12" x14ac:dyDescent="0.15">
      <c r="B31" s="130">
        <v>28</v>
      </c>
      <c r="C31" s="118" t="s">
        <v>101</v>
      </c>
      <c r="D31" s="118" t="s">
        <v>78</v>
      </c>
      <c r="E31" s="118" t="s">
        <v>69</v>
      </c>
    </row>
    <row r="32" spans="2:5" ht="12" x14ac:dyDescent="0.15">
      <c r="B32" s="130">
        <v>29</v>
      </c>
      <c r="C32" s="118" t="s">
        <v>102</v>
      </c>
      <c r="D32" s="118" t="s">
        <v>91</v>
      </c>
      <c r="E32" s="118" t="s">
        <v>69</v>
      </c>
    </row>
    <row r="33" spans="2:5" ht="12" x14ac:dyDescent="0.15">
      <c r="B33" s="130">
        <v>30</v>
      </c>
      <c r="C33" s="118" t="s">
        <v>103</v>
      </c>
      <c r="D33" s="118" t="s">
        <v>78</v>
      </c>
      <c r="E33" s="118" t="s">
        <v>69</v>
      </c>
    </row>
    <row r="34" spans="2:5" ht="12" x14ac:dyDescent="0.15">
      <c r="B34" s="130">
        <v>31</v>
      </c>
      <c r="C34" s="118" t="s">
        <v>104</v>
      </c>
      <c r="D34" s="118" t="s">
        <v>76</v>
      </c>
      <c r="E34" s="118" t="s">
        <v>69</v>
      </c>
    </row>
    <row r="35" spans="2:5" ht="12" x14ac:dyDescent="0.15">
      <c r="B35" s="130">
        <v>32</v>
      </c>
      <c r="C35" s="118" t="s">
        <v>105</v>
      </c>
      <c r="D35" s="118" t="s">
        <v>76</v>
      </c>
      <c r="E35" s="118" t="s">
        <v>69</v>
      </c>
    </row>
    <row r="36" spans="2:5" ht="12" x14ac:dyDescent="0.15">
      <c r="B36" s="130">
        <v>33</v>
      </c>
      <c r="C36" s="118" t="s">
        <v>106</v>
      </c>
      <c r="D36" s="118" t="s">
        <v>78</v>
      </c>
      <c r="E36" s="118" t="s">
        <v>69</v>
      </c>
    </row>
    <row r="37" spans="2:5" ht="12" x14ac:dyDescent="0.15">
      <c r="B37" s="130">
        <v>34</v>
      </c>
      <c r="C37" s="118" t="s">
        <v>107</v>
      </c>
      <c r="D37" s="118" t="s">
        <v>78</v>
      </c>
      <c r="E37" s="118" t="s">
        <v>69</v>
      </c>
    </row>
    <row r="38" spans="2:5" ht="12" x14ac:dyDescent="0.15">
      <c r="B38" s="130">
        <v>35</v>
      </c>
      <c r="C38" s="118" t="s">
        <v>108</v>
      </c>
      <c r="D38" s="118" t="s">
        <v>78</v>
      </c>
      <c r="E38" s="118" t="s">
        <v>69</v>
      </c>
    </row>
    <row r="39" spans="2:5" ht="12" x14ac:dyDescent="0.15">
      <c r="B39" s="130">
        <v>36</v>
      </c>
      <c r="C39" s="118" t="s">
        <v>109</v>
      </c>
      <c r="D39" s="118" t="s">
        <v>110</v>
      </c>
      <c r="E39" s="118" t="s">
        <v>69</v>
      </c>
    </row>
    <row r="40" spans="2:5" ht="12" x14ac:dyDescent="0.15">
      <c r="B40" s="130">
        <v>37</v>
      </c>
      <c r="C40" s="118" t="s">
        <v>111</v>
      </c>
      <c r="D40" s="118" t="s">
        <v>78</v>
      </c>
      <c r="E40" s="118" t="s">
        <v>69</v>
      </c>
    </row>
    <row r="41" spans="2:5" ht="12" x14ac:dyDescent="0.15">
      <c r="B41" s="130">
        <v>38</v>
      </c>
      <c r="C41" s="118" t="s">
        <v>112</v>
      </c>
      <c r="D41" s="118" t="s">
        <v>76</v>
      </c>
      <c r="E41" s="118" t="s">
        <v>69</v>
      </c>
    </row>
    <row r="42" spans="2:5" ht="12" x14ac:dyDescent="0.15">
      <c r="B42" s="130">
        <v>39</v>
      </c>
      <c r="C42" s="118" t="s">
        <v>113</v>
      </c>
      <c r="D42" s="118" t="s">
        <v>76</v>
      </c>
      <c r="E42" s="118" t="s">
        <v>69</v>
      </c>
    </row>
    <row r="43" spans="2:5" ht="12" x14ac:dyDescent="0.15">
      <c r="B43" s="130">
        <v>40</v>
      </c>
      <c r="C43" s="118" t="s">
        <v>114</v>
      </c>
      <c r="D43" s="118" t="s">
        <v>110</v>
      </c>
      <c r="E43" s="118" t="s">
        <v>69</v>
      </c>
    </row>
    <row r="44" spans="2:5" ht="12" x14ac:dyDescent="0.15">
      <c r="B44" s="130">
        <v>41</v>
      </c>
      <c r="C44" s="118" t="s">
        <v>115</v>
      </c>
      <c r="D44" s="118" t="s">
        <v>72</v>
      </c>
      <c r="E44" s="118" t="s">
        <v>69</v>
      </c>
    </row>
    <row r="45" spans="2:5" ht="12" x14ac:dyDescent="0.15">
      <c r="B45" s="130">
        <v>42</v>
      </c>
      <c r="C45" s="118" t="s">
        <v>116</v>
      </c>
      <c r="D45" s="118" t="s">
        <v>78</v>
      </c>
      <c r="E45" s="118" t="s">
        <v>69</v>
      </c>
    </row>
    <row r="46" spans="2:5" ht="12" x14ac:dyDescent="0.15">
      <c r="B46" s="130">
        <v>43</v>
      </c>
      <c r="C46" s="118" t="s">
        <v>117</v>
      </c>
      <c r="D46" s="118" t="s">
        <v>76</v>
      </c>
      <c r="E46" s="118" t="s">
        <v>69</v>
      </c>
    </row>
    <row r="47" spans="2:5" ht="12" x14ac:dyDescent="0.15">
      <c r="B47" s="130">
        <v>44</v>
      </c>
      <c r="C47" s="118" t="s">
        <v>118</v>
      </c>
      <c r="D47" s="118" t="s">
        <v>78</v>
      </c>
      <c r="E47" s="118" t="s">
        <v>69</v>
      </c>
    </row>
    <row r="48" spans="2:5" ht="12" x14ac:dyDescent="0.15">
      <c r="B48" s="130">
        <v>45</v>
      </c>
      <c r="C48" s="118" t="s">
        <v>119</v>
      </c>
      <c r="D48" s="118" t="s">
        <v>76</v>
      </c>
      <c r="E48" s="118" t="s">
        <v>69</v>
      </c>
    </row>
    <row r="49" spans="2:5" ht="12" x14ac:dyDescent="0.15">
      <c r="B49" s="130">
        <v>46</v>
      </c>
      <c r="C49" s="118" t="s">
        <v>120</v>
      </c>
      <c r="D49" s="118" t="s">
        <v>76</v>
      </c>
      <c r="E49" s="118" t="s">
        <v>69</v>
      </c>
    </row>
    <row r="50" spans="2:5" ht="12" x14ac:dyDescent="0.15">
      <c r="B50" s="130">
        <v>47</v>
      </c>
      <c r="C50" s="118" t="s">
        <v>121</v>
      </c>
      <c r="D50" s="118" t="s">
        <v>76</v>
      </c>
      <c r="E50" s="118" t="s">
        <v>69</v>
      </c>
    </row>
    <row r="51" spans="2:5" ht="12" x14ac:dyDescent="0.15">
      <c r="B51" s="130">
        <v>48</v>
      </c>
      <c r="C51" s="118" t="s">
        <v>122</v>
      </c>
      <c r="D51" s="118" t="s">
        <v>78</v>
      </c>
      <c r="E51" s="118" t="s">
        <v>69</v>
      </c>
    </row>
    <row r="52" spans="2:5" ht="12" x14ac:dyDescent="0.15">
      <c r="B52" s="130">
        <v>49</v>
      </c>
      <c r="C52" s="118" t="s">
        <v>123</v>
      </c>
      <c r="D52" s="118" t="s">
        <v>124</v>
      </c>
      <c r="E52" s="118" t="s">
        <v>69</v>
      </c>
    </row>
    <row r="53" spans="2:5" ht="12" x14ac:dyDescent="0.15">
      <c r="B53" s="130">
        <v>50</v>
      </c>
      <c r="C53" s="118" t="s">
        <v>125</v>
      </c>
      <c r="D53" s="118" t="s">
        <v>78</v>
      </c>
      <c r="E53" s="118" t="s">
        <v>69</v>
      </c>
    </row>
    <row r="54" spans="2:5" ht="12" x14ac:dyDescent="0.15">
      <c r="B54" s="130">
        <v>51</v>
      </c>
      <c r="C54" s="118" t="s">
        <v>126</v>
      </c>
      <c r="D54" s="118" t="s">
        <v>78</v>
      </c>
      <c r="E54" s="118" t="s">
        <v>69</v>
      </c>
    </row>
    <row r="55" spans="2:5" ht="12" x14ac:dyDescent="0.15">
      <c r="B55" s="130">
        <v>52</v>
      </c>
      <c r="C55" s="118" t="s">
        <v>127</v>
      </c>
      <c r="D55" s="118" t="s">
        <v>78</v>
      </c>
      <c r="E55" s="118" t="s">
        <v>69</v>
      </c>
    </row>
    <row r="56" spans="2:5" ht="12" x14ac:dyDescent="0.15">
      <c r="B56" s="130">
        <v>53</v>
      </c>
      <c r="C56" s="118" t="s">
        <v>128</v>
      </c>
      <c r="D56" s="118" t="s">
        <v>78</v>
      </c>
      <c r="E56" s="118" t="s">
        <v>69</v>
      </c>
    </row>
    <row r="57" spans="2:5" ht="12" x14ac:dyDescent="0.15">
      <c r="B57" s="130">
        <v>54</v>
      </c>
      <c r="C57" s="118" t="s">
        <v>129</v>
      </c>
      <c r="D57" s="118" t="s">
        <v>76</v>
      </c>
      <c r="E57" s="118" t="s">
        <v>69</v>
      </c>
    </row>
    <row r="58" spans="2:5" ht="12" x14ac:dyDescent="0.15">
      <c r="B58" s="130">
        <v>55</v>
      </c>
      <c r="C58" s="118" t="s">
        <v>130</v>
      </c>
      <c r="D58" s="118" t="s">
        <v>76</v>
      </c>
      <c r="E58" s="118" t="s">
        <v>69</v>
      </c>
    </row>
    <row r="59" spans="2:5" ht="12" x14ac:dyDescent="0.15">
      <c r="B59" s="130">
        <v>56</v>
      </c>
      <c r="C59" s="118" t="s">
        <v>131</v>
      </c>
      <c r="D59" s="118" t="s">
        <v>124</v>
      </c>
      <c r="E59" s="118" t="s">
        <v>69</v>
      </c>
    </row>
    <row r="60" spans="2:5" ht="12" x14ac:dyDescent="0.15">
      <c r="B60" s="130">
        <v>57</v>
      </c>
      <c r="C60" s="118" t="s">
        <v>132</v>
      </c>
      <c r="D60" s="118" t="s">
        <v>133</v>
      </c>
      <c r="E60" s="118" t="s">
        <v>69</v>
      </c>
    </row>
    <row r="61" spans="2:5" ht="12" x14ac:dyDescent="0.15">
      <c r="B61" s="130">
        <v>58</v>
      </c>
      <c r="C61" s="118" t="s">
        <v>134</v>
      </c>
      <c r="D61" s="118" t="s">
        <v>124</v>
      </c>
      <c r="E61" s="118" t="s">
        <v>69</v>
      </c>
    </row>
    <row r="62" spans="2:5" ht="12" x14ac:dyDescent="0.15">
      <c r="B62" s="130">
        <v>59</v>
      </c>
      <c r="C62" s="118" t="s">
        <v>135</v>
      </c>
      <c r="D62" s="118" t="s">
        <v>78</v>
      </c>
      <c r="E62" s="118" t="s">
        <v>69</v>
      </c>
    </row>
    <row r="63" spans="2:5" ht="12" x14ac:dyDescent="0.15">
      <c r="B63" s="130">
        <v>60</v>
      </c>
      <c r="C63" s="118" t="s">
        <v>136</v>
      </c>
      <c r="D63" s="118" t="s">
        <v>110</v>
      </c>
      <c r="E63" s="118" t="s">
        <v>69</v>
      </c>
    </row>
    <row r="64" spans="2:5" ht="12" x14ac:dyDescent="0.15">
      <c r="B64" s="130">
        <v>61</v>
      </c>
      <c r="C64" s="118" t="s">
        <v>137</v>
      </c>
      <c r="D64" s="118" t="s">
        <v>76</v>
      </c>
      <c r="E64" s="118" t="s">
        <v>69</v>
      </c>
    </row>
    <row r="65" spans="2:5" ht="12" x14ac:dyDescent="0.15">
      <c r="B65" s="130">
        <v>62</v>
      </c>
      <c r="C65" s="118" t="s">
        <v>138</v>
      </c>
      <c r="D65" s="118" t="s">
        <v>110</v>
      </c>
      <c r="E65" s="118" t="s">
        <v>69</v>
      </c>
    </row>
    <row r="66" spans="2:5" ht="12" x14ac:dyDescent="0.15">
      <c r="B66" s="130">
        <v>63</v>
      </c>
      <c r="C66" s="118" t="s">
        <v>139</v>
      </c>
      <c r="D66" s="118" t="s">
        <v>78</v>
      </c>
      <c r="E66" s="118" t="s">
        <v>69</v>
      </c>
    </row>
    <row r="67" spans="2:5" ht="12" x14ac:dyDescent="0.15">
      <c r="B67" s="130">
        <v>64</v>
      </c>
      <c r="C67" s="118" t="s">
        <v>140</v>
      </c>
      <c r="D67" s="118" t="s">
        <v>110</v>
      </c>
      <c r="E67" s="118" t="s">
        <v>69</v>
      </c>
    </row>
    <row r="68" spans="2:5" ht="12" x14ac:dyDescent="0.15">
      <c r="B68" s="130">
        <v>65</v>
      </c>
      <c r="C68" s="118" t="s">
        <v>141</v>
      </c>
      <c r="D68" s="118" t="s">
        <v>124</v>
      </c>
      <c r="E68" s="118" t="s">
        <v>69</v>
      </c>
    </row>
    <row r="69" spans="2:5" ht="12" x14ac:dyDescent="0.15">
      <c r="B69" s="130">
        <v>66</v>
      </c>
      <c r="C69" s="118" t="s">
        <v>142</v>
      </c>
      <c r="D69" s="118" t="s">
        <v>72</v>
      </c>
      <c r="E69" s="118" t="s">
        <v>69</v>
      </c>
    </row>
    <row r="70" spans="2:5" ht="12" x14ac:dyDescent="0.15">
      <c r="B70" s="130">
        <v>67</v>
      </c>
      <c r="C70" s="118" t="s">
        <v>143</v>
      </c>
      <c r="D70" s="118" t="s">
        <v>78</v>
      </c>
      <c r="E70" s="118" t="s">
        <v>69</v>
      </c>
    </row>
    <row r="71" spans="2:5" ht="12" x14ac:dyDescent="0.15">
      <c r="B71" s="130">
        <v>68</v>
      </c>
      <c r="C71" s="118" t="s">
        <v>144</v>
      </c>
      <c r="D71" s="118" t="s">
        <v>110</v>
      </c>
      <c r="E71" s="118" t="s">
        <v>69</v>
      </c>
    </row>
    <row r="72" spans="2:5" ht="12" x14ac:dyDescent="0.15">
      <c r="B72" s="130">
        <v>69</v>
      </c>
      <c r="C72" s="118" t="s">
        <v>145</v>
      </c>
      <c r="D72" s="118" t="s">
        <v>76</v>
      </c>
      <c r="E72" s="118" t="s">
        <v>69</v>
      </c>
    </row>
    <row r="73" spans="2:5" ht="12" x14ac:dyDescent="0.15">
      <c r="B73" s="130">
        <v>70</v>
      </c>
      <c r="C73" s="118" t="s">
        <v>146</v>
      </c>
      <c r="D73" s="118" t="s">
        <v>110</v>
      </c>
      <c r="E73" s="118" t="s">
        <v>69</v>
      </c>
    </row>
    <row r="74" spans="2:5" ht="12" x14ac:dyDescent="0.15">
      <c r="B74" s="130">
        <v>71</v>
      </c>
      <c r="C74" s="118" t="s">
        <v>147</v>
      </c>
      <c r="D74" s="118" t="s">
        <v>110</v>
      </c>
      <c r="E74" s="118" t="s">
        <v>69</v>
      </c>
    </row>
    <row r="75" spans="2:5" ht="12" x14ac:dyDescent="0.15">
      <c r="B75" s="130">
        <v>72</v>
      </c>
      <c r="C75" s="118" t="s">
        <v>148</v>
      </c>
      <c r="D75" s="118" t="s">
        <v>124</v>
      </c>
      <c r="E75" s="118" t="s">
        <v>69</v>
      </c>
    </row>
    <row r="76" spans="2:5" ht="12" x14ac:dyDescent="0.15">
      <c r="B76" s="130">
        <v>73</v>
      </c>
      <c r="C76" s="118" t="s">
        <v>149</v>
      </c>
      <c r="D76" s="118" t="s">
        <v>78</v>
      </c>
      <c r="E76" s="118" t="s">
        <v>69</v>
      </c>
    </row>
    <row r="77" spans="2:5" ht="12" x14ac:dyDescent="0.15">
      <c r="B77" s="130">
        <v>74</v>
      </c>
      <c r="C77" s="118" t="s">
        <v>150</v>
      </c>
      <c r="D77" s="118" t="s">
        <v>72</v>
      </c>
      <c r="E77" s="118" t="s">
        <v>69</v>
      </c>
    </row>
    <row r="78" spans="2:5" ht="12" x14ac:dyDescent="0.15">
      <c r="B78" s="130">
        <v>75</v>
      </c>
      <c r="C78" s="118" t="s">
        <v>151</v>
      </c>
      <c r="D78" s="118" t="s">
        <v>110</v>
      </c>
      <c r="E78" s="118" t="s">
        <v>69</v>
      </c>
    </row>
    <row r="79" spans="2:5" ht="12" x14ac:dyDescent="0.15">
      <c r="B79" s="130">
        <v>76</v>
      </c>
      <c r="C79" s="118" t="s">
        <v>152</v>
      </c>
      <c r="D79" s="118" t="s">
        <v>110</v>
      </c>
      <c r="E79" s="118" t="s">
        <v>69</v>
      </c>
    </row>
    <row r="80" spans="2:5" ht="12" x14ac:dyDescent="0.15">
      <c r="B80" s="130">
        <v>77</v>
      </c>
      <c r="C80" s="118" t="s">
        <v>153</v>
      </c>
      <c r="D80" s="118" t="s">
        <v>154</v>
      </c>
      <c r="E80" s="118" t="s">
        <v>69</v>
      </c>
    </row>
    <row r="81" spans="2:5" ht="12" x14ac:dyDescent="0.15">
      <c r="B81" s="130">
        <v>78</v>
      </c>
      <c r="C81" s="118" t="s">
        <v>155</v>
      </c>
      <c r="D81" s="118" t="s">
        <v>72</v>
      </c>
      <c r="E81" s="118" t="s">
        <v>69</v>
      </c>
    </row>
    <row r="82" spans="2:5" ht="12" x14ac:dyDescent="0.15">
      <c r="B82" s="130">
        <v>79</v>
      </c>
      <c r="C82" s="118" t="s">
        <v>156</v>
      </c>
      <c r="D82" s="118" t="s">
        <v>72</v>
      </c>
      <c r="E82" s="118" t="s">
        <v>69</v>
      </c>
    </row>
    <row r="83" spans="2:5" ht="12" x14ac:dyDescent="0.15">
      <c r="B83" s="130">
        <v>80</v>
      </c>
      <c r="C83" s="118" t="s">
        <v>157</v>
      </c>
      <c r="D83" s="118" t="s">
        <v>78</v>
      </c>
      <c r="E83" s="118" t="s">
        <v>69</v>
      </c>
    </row>
    <row r="84" spans="2:5" ht="12" x14ac:dyDescent="0.15">
      <c r="B84" s="130">
        <v>81</v>
      </c>
      <c r="C84" s="118" t="s">
        <v>158</v>
      </c>
      <c r="D84" s="118" t="s">
        <v>110</v>
      </c>
      <c r="E84" s="118" t="s">
        <v>69</v>
      </c>
    </row>
    <row r="85" spans="2:5" ht="12" x14ac:dyDescent="0.15">
      <c r="B85" s="130">
        <v>82</v>
      </c>
      <c r="C85" s="118" t="s">
        <v>159</v>
      </c>
      <c r="D85" s="118" t="s">
        <v>78</v>
      </c>
      <c r="E85" s="118" t="s">
        <v>69</v>
      </c>
    </row>
    <row r="86" spans="2:5" ht="12" x14ac:dyDescent="0.15">
      <c r="B86" s="130">
        <v>83</v>
      </c>
      <c r="C86" s="118" t="s">
        <v>160</v>
      </c>
      <c r="D86" s="118" t="s">
        <v>78</v>
      </c>
      <c r="E86" s="118" t="s">
        <v>69</v>
      </c>
    </row>
    <row r="87" spans="2:5" ht="12" x14ac:dyDescent="0.15">
      <c r="B87" s="130">
        <v>84</v>
      </c>
      <c r="C87" s="118" t="s">
        <v>161</v>
      </c>
      <c r="D87" s="118" t="s">
        <v>110</v>
      </c>
      <c r="E87" s="118" t="s">
        <v>69</v>
      </c>
    </row>
    <row r="88" spans="2:5" ht="12" x14ac:dyDescent="0.15">
      <c r="B88" s="130">
        <v>85</v>
      </c>
      <c r="C88" s="118" t="s">
        <v>162</v>
      </c>
      <c r="D88" s="118" t="s">
        <v>76</v>
      </c>
      <c r="E88" s="118" t="s">
        <v>69</v>
      </c>
    </row>
    <row r="89" spans="2:5" ht="12" x14ac:dyDescent="0.15">
      <c r="B89" s="130">
        <v>86</v>
      </c>
      <c r="C89" s="118" t="s">
        <v>163</v>
      </c>
      <c r="D89" s="118" t="s">
        <v>76</v>
      </c>
      <c r="E89" s="118" t="s">
        <v>69</v>
      </c>
    </row>
    <row r="90" spans="2:5" ht="12" x14ac:dyDescent="0.15">
      <c r="B90" s="130">
        <v>87</v>
      </c>
      <c r="C90" s="118" t="s">
        <v>164</v>
      </c>
      <c r="D90" s="118" t="s">
        <v>78</v>
      </c>
      <c r="E90" s="118" t="s">
        <v>69</v>
      </c>
    </row>
    <row r="91" spans="2:5" ht="12" x14ac:dyDescent="0.15">
      <c r="B91" s="130">
        <v>88</v>
      </c>
      <c r="C91" s="118" t="s">
        <v>165</v>
      </c>
      <c r="D91" s="118" t="s">
        <v>76</v>
      </c>
      <c r="E91" s="118" t="s">
        <v>69</v>
      </c>
    </row>
    <row r="92" spans="2:5" ht="12" x14ac:dyDescent="0.15">
      <c r="B92" s="130">
        <v>89</v>
      </c>
      <c r="C92" s="118" t="s">
        <v>166</v>
      </c>
      <c r="D92" s="118" t="s">
        <v>110</v>
      </c>
      <c r="E92" s="118" t="s">
        <v>69</v>
      </c>
    </row>
    <row r="93" spans="2:5" ht="12" x14ac:dyDescent="0.15">
      <c r="B93" s="130">
        <v>90</v>
      </c>
      <c r="C93" s="118" t="s">
        <v>167</v>
      </c>
      <c r="D93" s="118" t="s">
        <v>78</v>
      </c>
      <c r="E93" s="118" t="s">
        <v>69</v>
      </c>
    </row>
    <row r="94" spans="2:5" ht="12" x14ac:dyDescent="0.15">
      <c r="B94" s="130">
        <v>91</v>
      </c>
      <c r="C94" s="118" t="s">
        <v>168</v>
      </c>
      <c r="D94" s="118" t="s">
        <v>110</v>
      </c>
      <c r="E94" s="118" t="s">
        <v>69</v>
      </c>
    </row>
    <row r="95" spans="2:5" ht="12" x14ac:dyDescent="0.15">
      <c r="B95" s="130">
        <v>92</v>
      </c>
      <c r="C95" s="118" t="s">
        <v>169</v>
      </c>
      <c r="D95" s="118" t="s">
        <v>110</v>
      </c>
      <c r="E95" s="118" t="s">
        <v>69</v>
      </c>
    </row>
    <row r="96" spans="2:5" ht="12" x14ac:dyDescent="0.15">
      <c r="B96" s="130">
        <v>93</v>
      </c>
      <c r="C96" s="118" t="s">
        <v>170</v>
      </c>
      <c r="D96" s="118" t="s">
        <v>76</v>
      </c>
      <c r="E96" s="118" t="s">
        <v>69</v>
      </c>
    </row>
    <row r="97" spans="2:5" ht="12" x14ac:dyDescent="0.15">
      <c r="B97" s="130">
        <v>94</v>
      </c>
      <c r="C97" s="118" t="s">
        <v>171</v>
      </c>
      <c r="D97" s="118" t="s">
        <v>110</v>
      </c>
      <c r="E97" s="118" t="s">
        <v>69</v>
      </c>
    </row>
    <row r="98" spans="2:5" ht="12" x14ac:dyDescent="0.15">
      <c r="B98" s="130">
        <v>95</v>
      </c>
      <c r="C98" s="118" t="s">
        <v>172</v>
      </c>
      <c r="D98" s="118" t="s">
        <v>124</v>
      </c>
      <c r="E98" s="118" t="s">
        <v>69</v>
      </c>
    </row>
    <row r="99" spans="2:5" ht="12" x14ac:dyDescent="0.15">
      <c r="B99" s="130">
        <v>96</v>
      </c>
      <c r="C99" s="118" t="s">
        <v>173</v>
      </c>
      <c r="D99" s="118" t="s">
        <v>110</v>
      </c>
      <c r="E99" s="118" t="s">
        <v>69</v>
      </c>
    </row>
    <row r="100" spans="2:5" ht="12" x14ac:dyDescent="0.15">
      <c r="B100" s="130">
        <v>97</v>
      </c>
      <c r="C100" s="118" t="s">
        <v>174</v>
      </c>
      <c r="D100" s="118" t="s">
        <v>110</v>
      </c>
      <c r="E100" s="118" t="s">
        <v>69</v>
      </c>
    </row>
    <row r="101" spans="2:5" ht="12" x14ac:dyDescent="0.15">
      <c r="B101" s="130">
        <v>98</v>
      </c>
      <c r="C101" s="118" t="s">
        <v>175</v>
      </c>
      <c r="D101" s="118" t="s">
        <v>76</v>
      </c>
      <c r="E101" s="118" t="s">
        <v>69</v>
      </c>
    </row>
    <row r="102" spans="2:5" ht="12" x14ac:dyDescent="0.15">
      <c r="B102" s="130">
        <v>99</v>
      </c>
      <c r="C102" s="118" t="s">
        <v>176</v>
      </c>
      <c r="D102" s="118" t="s">
        <v>78</v>
      </c>
      <c r="E102" s="118" t="s">
        <v>69</v>
      </c>
    </row>
    <row r="103" spans="2:5" ht="12" x14ac:dyDescent="0.15">
      <c r="B103" s="130">
        <v>100</v>
      </c>
      <c r="C103" s="118" t="s">
        <v>177</v>
      </c>
      <c r="D103" s="118" t="s">
        <v>110</v>
      </c>
      <c r="E103" s="118" t="s">
        <v>69</v>
      </c>
    </row>
    <row r="104" spans="2:5" ht="12" x14ac:dyDescent="0.15">
      <c r="B104" s="130">
        <v>101</v>
      </c>
      <c r="C104" s="118" t="s">
        <v>178</v>
      </c>
      <c r="D104" s="118" t="s">
        <v>179</v>
      </c>
      <c r="E104" s="118" t="s">
        <v>69</v>
      </c>
    </row>
    <row r="105" spans="2:5" ht="12" x14ac:dyDescent="0.15">
      <c r="B105" s="130">
        <v>102</v>
      </c>
      <c r="C105" s="118" t="s">
        <v>180</v>
      </c>
      <c r="D105" s="118" t="s">
        <v>110</v>
      </c>
      <c r="E105" s="118" t="s">
        <v>69</v>
      </c>
    </row>
    <row r="106" spans="2:5" ht="12" x14ac:dyDescent="0.15">
      <c r="B106" s="130">
        <v>103</v>
      </c>
      <c r="C106" s="118" t="s">
        <v>133</v>
      </c>
      <c r="D106" s="118" t="s">
        <v>133</v>
      </c>
      <c r="E106" s="118" t="s">
        <v>69</v>
      </c>
    </row>
    <row r="107" spans="2:5" ht="12" x14ac:dyDescent="0.15">
      <c r="B107" s="130">
        <v>104</v>
      </c>
      <c r="C107" s="118" t="s">
        <v>181</v>
      </c>
      <c r="D107" s="118" t="s">
        <v>72</v>
      </c>
      <c r="E107" s="118" t="s">
        <v>69</v>
      </c>
    </row>
    <row r="108" spans="2:5" ht="12" x14ac:dyDescent="0.15">
      <c r="B108" s="130">
        <v>105</v>
      </c>
      <c r="C108" s="118" t="s">
        <v>182</v>
      </c>
      <c r="D108" s="118" t="s">
        <v>110</v>
      </c>
      <c r="E108" s="118" t="s">
        <v>69</v>
      </c>
    </row>
    <row r="109" spans="2:5" ht="12" x14ac:dyDescent="0.15">
      <c r="B109" s="130">
        <v>106</v>
      </c>
      <c r="C109" s="118" t="s">
        <v>183</v>
      </c>
      <c r="D109" s="118" t="s">
        <v>76</v>
      </c>
      <c r="E109" s="118" t="s">
        <v>69</v>
      </c>
    </row>
    <row r="110" spans="2:5" ht="12" x14ac:dyDescent="0.15">
      <c r="B110" s="130">
        <v>107</v>
      </c>
      <c r="C110" s="118" t="s">
        <v>184</v>
      </c>
      <c r="D110" s="118" t="s">
        <v>110</v>
      </c>
      <c r="E110" s="118" t="s">
        <v>69</v>
      </c>
    </row>
    <row r="111" spans="2:5" ht="12" x14ac:dyDescent="0.15">
      <c r="B111" s="130">
        <v>108</v>
      </c>
      <c r="C111" s="118" t="s">
        <v>185</v>
      </c>
      <c r="D111" s="118" t="s">
        <v>110</v>
      </c>
      <c r="E111" s="118" t="s">
        <v>69</v>
      </c>
    </row>
    <row r="112" spans="2:5" ht="12" x14ac:dyDescent="0.15">
      <c r="B112" s="130">
        <v>109</v>
      </c>
      <c r="C112" s="118" t="s">
        <v>186</v>
      </c>
      <c r="D112" s="118" t="s">
        <v>76</v>
      </c>
      <c r="E112" s="118" t="s">
        <v>69</v>
      </c>
    </row>
    <row r="113" spans="2:5" ht="12" x14ac:dyDescent="0.15">
      <c r="B113" s="130">
        <v>110</v>
      </c>
      <c r="C113" s="118" t="s">
        <v>187</v>
      </c>
      <c r="D113" s="118" t="s">
        <v>110</v>
      </c>
      <c r="E113" s="118" t="s">
        <v>69</v>
      </c>
    </row>
    <row r="114" spans="2:5" ht="12" x14ac:dyDescent="0.15">
      <c r="B114" s="130">
        <v>111</v>
      </c>
      <c r="C114" s="118" t="s">
        <v>188</v>
      </c>
      <c r="D114" s="118" t="s">
        <v>110</v>
      </c>
      <c r="E114" s="118" t="s">
        <v>69</v>
      </c>
    </row>
    <row r="115" spans="2:5" ht="12" x14ac:dyDescent="0.15">
      <c r="B115" s="130">
        <v>112</v>
      </c>
      <c r="C115" s="118" t="s">
        <v>189</v>
      </c>
      <c r="D115" s="118" t="s">
        <v>76</v>
      </c>
      <c r="E115" s="118" t="s">
        <v>69</v>
      </c>
    </row>
    <row r="116" spans="2:5" ht="12" x14ac:dyDescent="0.15">
      <c r="B116" s="130">
        <v>113</v>
      </c>
      <c r="C116" s="118" t="s">
        <v>190</v>
      </c>
      <c r="D116" s="118" t="s">
        <v>76</v>
      </c>
      <c r="E116" s="118" t="s">
        <v>69</v>
      </c>
    </row>
    <row r="117" spans="2:5" ht="12" x14ac:dyDescent="0.15">
      <c r="B117" s="130">
        <v>114</v>
      </c>
      <c r="C117" s="118" t="s">
        <v>191</v>
      </c>
      <c r="D117" s="118" t="s">
        <v>72</v>
      </c>
      <c r="E117" s="118" t="s">
        <v>69</v>
      </c>
    </row>
    <row r="118" spans="2:5" ht="12" x14ac:dyDescent="0.15">
      <c r="B118" s="130">
        <v>115</v>
      </c>
      <c r="C118" s="118" t="s">
        <v>192</v>
      </c>
      <c r="D118" s="118" t="s">
        <v>76</v>
      </c>
      <c r="E118" s="118" t="s">
        <v>69</v>
      </c>
    </row>
    <row r="119" spans="2:5" ht="12" x14ac:dyDescent="0.15">
      <c r="B119" s="130">
        <v>116</v>
      </c>
      <c r="C119" s="118" t="s">
        <v>193</v>
      </c>
      <c r="D119" s="118" t="s">
        <v>78</v>
      </c>
      <c r="E119" s="118" t="s">
        <v>69</v>
      </c>
    </row>
    <row r="120" spans="2:5" ht="12" x14ac:dyDescent="0.15">
      <c r="B120" s="130">
        <v>117</v>
      </c>
      <c r="C120" s="118" t="s">
        <v>194</v>
      </c>
      <c r="D120" s="118" t="s">
        <v>110</v>
      </c>
      <c r="E120" s="118" t="s">
        <v>69</v>
      </c>
    </row>
    <row r="121" spans="2:5" ht="12" x14ac:dyDescent="0.15">
      <c r="B121" s="130">
        <v>118</v>
      </c>
      <c r="C121" s="118" t="s">
        <v>195</v>
      </c>
      <c r="D121" s="118" t="s">
        <v>110</v>
      </c>
      <c r="E121" s="118" t="s">
        <v>69</v>
      </c>
    </row>
    <row r="122" spans="2:5" ht="12" x14ac:dyDescent="0.15">
      <c r="B122" s="130">
        <v>119</v>
      </c>
      <c r="C122" s="118" t="s">
        <v>196</v>
      </c>
      <c r="D122" s="118" t="s">
        <v>78</v>
      </c>
      <c r="E122" s="118" t="s">
        <v>69</v>
      </c>
    </row>
    <row r="123" spans="2:5" ht="12" x14ac:dyDescent="0.15">
      <c r="B123" s="130">
        <v>120</v>
      </c>
      <c r="C123" s="118" t="s">
        <v>197</v>
      </c>
      <c r="D123" s="118" t="s">
        <v>78</v>
      </c>
      <c r="E123" s="118" t="s">
        <v>69</v>
      </c>
    </row>
    <row r="124" spans="2:5" ht="12" x14ac:dyDescent="0.15">
      <c r="B124" s="130">
        <v>121</v>
      </c>
      <c r="C124" s="118" t="s">
        <v>198</v>
      </c>
      <c r="D124" s="118" t="s">
        <v>110</v>
      </c>
      <c r="E124" s="118" t="s">
        <v>69</v>
      </c>
    </row>
    <row r="125" spans="2:5" ht="12" x14ac:dyDescent="0.15">
      <c r="B125" s="130">
        <v>122</v>
      </c>
      <c r="C125" s="118" t="s">
        <v>199</v>
      </c>
      <c r="D125" s="118" t="s">
        <v>76</v>
      </c>
      <c r="E125" s="118" t="s">
        <v>69</v>
      </c>
    </row>
    <row r="126" spans="2:5" ht="12" x14ac:dyDescent="0.15">
      <c r="B126" s="130">
        <v>123</v>
      </c>
      <c r="C126" s="118" t="s">
        <v>200</v>
      </c>
      <c r="D126" s="118" t="s">
        <v>110</v>
      </c>
      <c r="E126" s="118" t="s">
        <v>69</v>
      </c>
    </row>
    <row r="127" spans="2:5" ht="12" x14ac:dyDescent="0.15">
      <c r="B127" s="130">
        <v>124</v>
      </c>
      <c r="C127" s="118" t="s">
        <v>201</v>
      </c>
      <c r="D127" s="118" t="s">
        <v>110</v>
      </c>
      <c r="E127" s="118" t="s">
        <v>69</v>
      </c>
    </row>
    <row r="128" spans="2:5" ht="12" x14ac:dyDescent="0.15">
      <c r="B128" s="130">
        <v>125</v>
      </c>
      <c r="C128" s="118" t="s">
        <v>202</v>
      </c>
      <c r="D128" s="118" t="s">
        <v>110</v>
      </c>
      <c r="E128" s="118" t="s">
        <v>69</v>
      </c>
    </row>
    <row r="129" spans="2:5" ht="12" x14ac:dyDescent="0.15">
      <c r="B129" s="130">
        <v>126</v>
      </c>
      <c r="C129" s="118" t="s">
        <v>203</v>
      </c>
      <c r="D129" s="118" t="s">
        <v>110</v>
      </c>
      <c r="E129" s="118" t="s">
        <v>69</v>
      </c>
    </row>
    <row r="130" spans="2:5" ht="12" x14ac:dyDescent="0.15">
      <c r="B130" s="130">
        <v>127</v>
      </c>
      <c r="C130" s="118" t="s">
        <v>204</v>
      </c>
      <c r="D130" s="118" t="s">
        <v>76</v>
      </c>
      <c r="E130" s="118" t="s">
        <v>69</v>
      </c>
    </row>
    <row r="131" spans="2:5" ht="12" x14ac:dyDescent="0.15">
      <c r="B131" s="130">
        <v>128</v>
      </c>
      <c r="C131" s="118" t="s">
        <v>205</v>
      </c>
      <c r="D131" s="118" t="s">
        <v>110</v>
      </c>
      <c r="E131" s="118" t="s">
        <v>69</v>
      </c>
    </row>
    <row r="132" spans="2:5" ht="12" x14ac:dyDescent="0.15">
      <c r="B132" s="130">
        <v>129</v>
      </c>
      <c r="C132" s="118" t="s">
        <v>206</v>
      </c>
      <c r="D132" s="118" t="s">
        <v>110</v>
      </c>
      <c r="E132" s="118" t="s">
        <v>69</v>
      </c>
    </row>
    <row r="133" spans="2:5" ht="12" x14ac:dyDescent="0.15">
      <c r="B133" s="130">
        <v>130</v>
      </c>
      <c r="C133" s="118" t="s">
        <v>207</v>
      </c>
      <c r="D133" s="118" t="s">
        <v>110</v>
      </c>
      <c r="E133" s="118" t="s">
        <v>69</v>
      </c>
    </row>
    <row r="134" spans="2:5" ht="12" x14ac:dyDescent="0.15">
      <c r="B134" s="130">
        <v>131</v>
      </c>
      <c r="C134" s="118" t="s">
        <v>208</v>
      </c>
      <c r="D134" s="118" t="s">
        <v>110</v>
      </c>
      <c r="E134" s="118" t="s">
        <v>69</v>
      </c>
    </row>
    <row r="135" spans="2:5" ht="12" x14ac:dyDescent="0.15">
      <c r="B135" s="130">
        <v>132</v>
      </c>
      <c r="C135" s="118" t="s">
        <v>209</v>
      </c>
      <c r="D135" s="118" t="s">
        <v>110</v>
      </c>
      <c r="E135" s="118" t="s">
        <v>69</v>
      </c>
    </row>
    <row r="136" spans="2:5" ht="12" x14ac:dyDescent="0.15">
      <c r="B136" s="130">
        <v>133</v>
      </c>
      <c r="C136" s="118" t="s">
        <v>210</v>
      </c>
      <c r="D136" s="118" t="s">
        <v>110</v>
      </c>
      <c r="E136" s="118" t="s">
        <v>69</v>
      </c>
    </row>
    <row r="137" spans="2:5" ht="12" x14ac:dyDescent="0.15">
      <c r="B137" s="130">
        <v>134</v>
      </c>
      <c r="C137" s="118" t="s">
        <v>211</v>
      </c>
      <c r="D137" s="118" t="s">
        <v>68</v>
      </c>
      <c r="E137" s="118" t="s">
        <v>69</v>
      </c>
    </row>
    <row r="138" spans="2:5" ht="12" x14ac:dyDescent="0.15">
      <c r="B138" s="130">
        <v>135</v>
      </c>
      <c r="C138" s="118" t="s">
        <v>212</v>
      </c>
      <c r="D138" s="118" t="s">
        <v>76</v>
      </c>
      <c r="E138" s="118" t="s">
        <v>69</v>
      </c>
    </row>
    <row r="139" spans="2:5" ht="12" x14ac:dyDescent="0.15">
      <c r="B139" s="130">
        <v>136</v>
      </c>
      <c r="C139" s="118" t="s">
        <v>213</v>
      </c>
      <c r="D139" s="118" t="s">
        <v>76</v>
      </c>
      <c r="E139" s="118" t="s">
        <v>69</v>
      </c>
    </row>
    <row r="140" spans="2:5" ht="12" x14ac:dyDescent="0.15">
      <c r="B140" s="130">
        <v>137</v>
      </c>
      <c r="C140" s="118" t="s">
        <v>214</v>
      </c>
      <c r="D140" s="118" t="s">
        <v>110</v>
      </c>
      <c r="E140" s="118" t="s">
        <v>69</v>
      </c>
    </row>
    <row r="141" spans="2:5" ht="12" x14ac:dyDescent="0.15">
      <c r="B141" s="130">
        <v>138</v>
      </c>
      <c r="C141" s="118" t="s">
        <v>215</v>
      </c>
      <c r="D141" s="118" t="s">
        <v>110</v>
      </c>
      <c r="E141" s="118" t="s">
        <v>69</v>
      </c>
    </row>
    <row r="142" spans="2:5" ht="12" x14ac:dyDescent="0.15">
      <c r="B142" s="130">
        <v>139</v>
      </c>
      <c r="C142" s="118" t="s">
        <v>216</v>
      </c>
      <c r="D142" s="118" t="s">
        <v>124</v>
      </c>
      <c r="E142" s="118" t="s">
        <v>69</v>
      </c>
    </row>
    <row r="143" spans="2:5" ht="12" x14ac:dyDescent="0.15">
      <c r="B143" s="130">
        <v>140</v>
      </c>
      <c r="C143" s="118" t="s">
        <v>217</v>
      </c>
      <c r="D143" s="118" t="s">
        <v>110</v>
      </c>
      <c r="E143" s="118" t="s">
        <v>69</v>
      </c>
    </row>
    <row r="144" spans="2:5" ht="12" x14ac:dyDescent="0.15">
      <c r="B144" s="130">
        <v>141</v>
      </c>
      <c r="C144" s="118" t="s">
        <v>218</v>
      </c>
      <c r="D144" s="118" t="s">
        <v>110</v>
      </c>
      <c r="E144" s="118" t="s">
        <v>69</v>
      </c>
    </row>
    <row r="145" spans="2:5" ht="12" x14ac:dyDescent="0.15">
      <c r="B145" s="130">
        <v>142</v>
      </c>
      <c r="C145" s="118" t="s">
        <v>219</v>
      </c>
      <c r="D145" s="118" t="s">
        <v>68</v>
      </c>
      <c r="E145" s="118" t="s">
        <v>69</v>
      </c>
    </row>
    <row r="146" spans="2:5" ht="12" x14ac:dyDescent="0.15">
      <c r="B146" s="130">
        <v>143</v>
      </c>
      <c r="C146" s="118" t="s">
        <v>220</v>
      </c>
      <c r="D146" s="118" t="s">
        <v>78</v>
      </c>
      <c r="E146" s="118" t="s">
        <v>69</v>
      </c>
    </row>
    <row r="147" spans="2:5" ht="12" x14ac:dyDescent="0.15">
      <c r="B147" s="130">
        <v>144</v>
      </c>
      <c r="C147" s="118" t="s">
        <v>221</v>
      </c>
      <c r="D147" s="118" t="s">
        <v>76</v>
      </c>
      <c r="E147" s="118" t="s">
        <v>69</v>
      </c>
    </row>
    <row r="148" spans="2:5" ht="12" x14ac:dyDescent="0.15">
      <c r="B148" s="130">
        <v>145</v>
      </c>
      <c r="C148" s="118" t="s">
        <v>222</v>
      </c>
      <c r="D148" s="118" t="s">
        <v>110</v>
      </c>
      <c r="E148" s="118" t="s">
        <v>69</v>
      </c>
    </row>
    <row r="149" spans="2:5" ht="12" x14ac:dyDescent="0.15">
      <c r="B149" s="130">
        <v>146</v>
      </c>
      <c r="C149" s="118" t="s">
        <v>223</v>
      </c>
      <c r="D149" s="118" t="s">
        <v>110</v>
      </c>
      <c r="E149" s="118" t="s">
        <v>69</v>
      </c>
    </row>
    <row r="150" spans="2:5" ht="12" x14ac:dyDescent="0.15">
      <c r="B150" s="130">
        <v>147</v>
      </c>
      <c r="C150" s="118" t="s">
        <v>224</v>
      </c>
      <c r="D150" s="118" t="s">
        <v>110</v>
      </c>
      <c r="E150" s="118" t="s">
        <v>69</v>
      </c>
    </row>
    <row r="151" spans="2:5" ht="12" x14ac:dyDescent="0.15">
      <c r="B151" s="130">
        <v>148</v>
      </c>
      <c r="C151" s="118" t="s">
        <v>225</v>
      </c>
      <c r="D151" s="118" t="s">
        <v>76</v>
      </c>
      <c r="E151" s="118" t="s">
        <v>69</v>
      </c>
    </row>
    <row r="152" spans="2:5" ht="12" x14ac:dyDescent="0.15">
      <c r="B152" s="130">
        <v>149</v>
      </c>
      <c r="C152" s="118" t="s">
        <v>226</v>
      </c>
      <c r="D152" s="118" t="s">
        <v>110</v>
      </c>
      <c r="E152" s="118" t="s">
        <v>69</v>
      </c>
    </row>
    <row r="153" spans="2:5" ht="12" x14ac:dyDescent="0.15">
      <c r="B153" s="130">
        <v>150</v>
      </c>
      <c r="C153" s="118" t="s">
        <v>227</v>
      </c>
      <c r="D153" s="118" t="s">
        <v>110</v>
      </c>
      <c r="E153" s="118" t="s">
        <v>69</v>
      </c>
    </row>
    <row r="154" spans="2:5" ht="12" x14ac:dyDescent="0.15">
      <c r="B154" s="130">
        <v>151</v>
      </c>
      <c r="C154" s="118" t="s">
        <v>228</v>
      </c>
      <c r="D154" s="118" t="s">
        <v>78</v>
      </c>
      <c r="E154" s="118" t="s">
        <v>69</v>
      </c>
    </row>
    <row r="155" spans="2:5" ht="12" x14ac:dyDescent="0.15">
      <c r="B155" s="130">
        <v>152</v>
      </c>
      <c r="C155" s="118" t="s">
        <v>229</v>
      </c>
      <c r="D155" s="118" t="s">
        <v>110</v>
      </c>
      <c r="E155" s="118" t="s">
        <v>69</v>
      </c>
    </row>
    <row r="156" spans="2:5" ht="12" x14ac:dyDescent="0.15">
      <c r="B156" s="130">
        <v>153</v>
      </c>
      <c r="C156" s="118" t="s">
        <v>230</v>
      </c>
      <c r="D156" s="118" t="s">
        <v>110</v>
      </c>
      <c r="E156" s="118" t="s">
        <v>69</v>
      </c>
    </row>
    <row r="157" spans="2:5" ht="12" x14ac:dyDescent="0.15">
      <c r="B157" s="130">
        <v>154</v>
      </c>
      <c r="C157" s="118" t="s">
        <v>231</v>
      </c>
      <c r="D157" s="118" t="s">
        <v>76</v>
      </c>
      <c r="E157" s="118" t="s">
        <v>69</v>
      </c>
    </row>
    <row r="158" spans="2:5" ht="12" x14ac:dyDescent="0.15">
      <c r="B158" s="130">
        <v>155</v>
      </c>
      <c r="C158" s="118" t="s">
        <v>232</v>
      </c>
      <c r="D158" s="118" t="s">
        <v>76</v>
      </c>
      <c r="E158" s="118" t="s">
        <v>69</v>
      </c>
    </row>
    <row r="159" spans="2:5" ht="12" x14ac:dyDescent="0.15">
      <c r="B159" s="130">
        <v>156</v>
      </c>
      <c r="C159" s="118" t="s">
        <v>233</v>
      </c>
      <c r="D159" s="118" t="s">
        <v>110</v>
      </c>
      <c r="E159" s="118" t="s">
        <v>69</v>
      </c>
    </row>
    <row r="160" spans="2:5" ht="12" x14ac:dyDescent="0.15">
      <c r="B160" s="130">
        <v>157</v>
      </c>
      <c r="C160" s="118" t="s">
        <v>234</v>
      </c>
      <c r="D160" s="118" t="s">
        <v>78</v>
      </c>
      <c r="E160" s="118" t="s">
        <v>69</v>
      </c>
    </row>
    <row r="161" spans="2:5" ht="12" x14ac:dyDescent="0.15">
      <c r="B161" s="130">
        <v>158</v>
      </c>
      <c r="C161" s="118" t="s">
        <v>235</v>
      </c>
      <c r="D161" s="118" t="s">
        <v>110</v>
      </c>
      <c r="E161" s="118" t="s">
        <v>69</v>
      </c>
    </row>
    <row r="162" spans="2:5" ht="12" x14ac:dyDescent="0.15">
      <c r="B162" s="130">
        <v>159</v>
      </c>
      <c r="C162" s="118" t="s">
        <v>236</v>
      </c>
      <c r="D162" s="118" t="s">
        <v>110</v>
      </c>
      <c r="E162" s="118" t="s">
        <v>69</v>
      </c>
    </row>
    <row r="163" spans="2:5" ht="12" x14ac:dyDescent="0.15">
      <c r="B163" s="130">
        <v>160</v>
      </c>
      <c r="C163" s="118" t="s">
        <v>237</v>
      </c>
      <c r="D163" s="118" t="s">
        <v>110</v>
      </c>
      <c r="E163" s="118" t="s">
        <v>69</v>
      </c>
    </row>
    <row r="164" spans="2:5" ht="12" x14ac:dyDescent="0.15">
      <c r="B164" s="130">
        <v>161</v>
      </c>
      <c r="C164" s="118" t="s">
        <v>238</v>
      </c>
      <c r="D164" s="118" t="s">
        <v>110</v>
      </c>
      <c r="E164" s="118" t="s">
        <v>69</v>
      </c>
    </row>
    <row r="165" spans="2:5" ht="12" x14ac:dyDescent="0.15">
      <c r="B165" s="130">
        <v>162</v>
      </c>
      <c r="C165" s="118" t="s">
        <v>239</v>
      </c>
      <c r="D165" s="118" t="s">
        <v>76</v>
      </c>
      <c r="E165" s="118" t="s">
        <v>69</v>
      </c>
    </row>
    <row r="166" spans="2:5" ht="12" x14ac:dyDescent="0.15">
      <c r="B166" s="130">
        <v>163</v>
      </c>
      <c r="C166" s="118" t="s">
        <v>240</v>
      </c>
      <c r="D166" s="118" t="s">
        <v>110</v>
      </c>
      <c r="E166" s="118" t="s">
        <v>69</v>
      </c>
    </row>
    <row r="167" spans="2:5" ht="12" x14ac:dyDescent="0.15">
      <c r="B167" s="130">
        <v>164</v>
      </c>
      <c r="C167" s="118" t="s">
        <v>241</v>
      </c>
      <c r="D167" s="118" t="s">
        <v>110</v>
      </c>
      <c r="E167" s="118" t="s">
        <v>69</v>
      </c>
    </row>
    <row r="168" spans="2:5" ht="12" x14ac:dyDescent="0.15">
      <c r="B168" s="130">
        <v>165</v>
      </c>
      <c r="C168" s="118" t="s">
        <v>242</v>
      </c>
      <c r="D168" s="118" t="s">
        <v>110</v>
      </c>
      <c r="E168" s="118" t="s">
        <v>69</v>
      </c>
    </row>
    <row r="169" spans="2:5" ht="12" x14ac:dyDescent="0.15">
      <c r="B169" s="130">
        <v>166</v>
      </c>
      <c r="C169" s="118" t="s">
        <v>243</v>
      </c>
      <c r="D169" s="118" t="s">
        <v>110</v>
      </c>
      <c r="E169" s="118" t="s">
        <v>69</v>
      </c>
    </row>
    <row r="170" spans="2:5" ht="12" x14ac:dyDescent="0.15">
      <c r="B170" s="130">
        <v>167</v>
      </c>
      <c r="C170" s="118" t="s">
        <v>244</v>
      </c>
      <c r="D170" s="118" t="s">
        <v>72</v>
      </c>
      <c r="E170" s="118" t="s">
        <v>69</v>
      </c>
    </row>
    <row r="171" spans="2:5" ht="12" x14ac:dyDescent="0.15">
      <c r="B171" s="130">
        <v>168</v>
      </c>
      <c r="C171" s="118" t="s">
        <v>245</v>
      </c>
      <c r="D171" s="118" t="s">
        <v>110</v>
      </c>
      <c r="E171" s="118" t="s">
        <v>69</v>
      </c>
    </row>
    <row r="172" spans="2:5" ht="12" x14ac:dyDescent="0.15">
      <c r="B172" s="130">
        <v>169</v>
      </c>
      <c r="C172" s="118" t="s">
        <v>246</v>
      </c>
      <c r="D172" s="118" t="s">
        <v>110</v>
      </c>
      <c r="E172" s="118" t="s">
        <v>69</v>
      </c>
    </row>
    <row r="173" spans="2:5" ht="12" x14ac:dyDescent="0.15">
      <c r="B173" s="130">
        <v>170</v>
      </c>
      <c r="C173" s="118" t="s">
        <v>247</v>
      </c>
      <c r="D173" s="118" t="s">
        <v>110</v>
      </c>
      <c r="E173" s="118" t="s">
        <v>69</v>
      </c>
    </row>
    <row r="174" spans="2:5" ht="12" x14ac:dyDescent="0.15">
      <c r="B174" s="130">
        <v>171</v>
      </c>
      <c r="C174" s="118" t="s">
        <v>248</v>
      </c>
      <c r="D174" s="118" t="s">
        <v>78</v>
      </c>
      <c r="E174" s="118" t="s">
        <v>69</v>
      </c>
    </row>
    <row r="175" spans="2:5" ht="12" x14ac:dyDescent="0.15">
      <c r="B175" s="130">
        <v>172</v>
      </c>
      <c r="C175" s="118" t="s">
        <v>249</v>
      </c>
      <c r="D175" s="118" t="s">
        <v>110</v>
      </c>
      <c r="E175" s="118" t="s">
        <v>69</v>
      </c>
    </row>
    <row r="176" spans="2:5" ht="12" x14ac:dyDescent="0.15">
      <c r="B176" s="130">
        <v>173</v>
      </c>
      <c r="C176" s="118" t="s">
        <v>250</v>
      </c>
      <c r="D176" s="118" t="s">
        <v>110</v>
      </c>
      <c r="E176" s="118" t="s">
        <v>69</v>
      </c>
    </row>
    <row r="177" spans="2:5" ht="12" x14ac:dyDescent="0.15">
      <c r="B177" s="130">
        <v>174</v>
      </c>
      <c r="C177" s="118" t="s">
        <v>251</v>
      </c>
      <c r="D177" s="118" t="s">
        <v>76</v>
      </c>
      <c r="E177" s="118" t="s">
        <v>69</v>
      </c>
    </row>
    <row r="178" spans="2:5" ht="12" x14ac:dyDescent="0.15">
      <c r="B178" s="130">
        <v>175</v>
      </c>
      <c r="C178" s="118" t="s">
        <v>252</v>
      </c>
      <c r="D178" s="118" t="s">
        <v>110</v>
      </c>
      <c r="E178" s="118" t="s">
        <v>69</v>
      </c>
    </row>
    <row r="179" spans="2:5" ht="12" x14ac:dyDescent="0.15">
      <c r="B179" s="130">
        <v>176</v>
      </c>
      <c r="C179" s="118" t="s">
        <v>253</v>
      </c>
      <c r="D179" s="118" t="s">
        <v>254</v>
      </c>
      <c r="E179" s="118" t="s">
        <v>69</v>
      </c>
    </row>
    <row r="180" spans="2:5" ht="12" x14ac:dyDescent="0.15">
      <c r="B180" s="130">
        <v>177</v>
      </c>
      <c r="C180" s="118" t="s">
        <v>255</v>
      </c>
      <c r="D180" s="118" t="s">
        <v>110</v>
      </c>
      <c r="E180" s="118" t="s">
        <v>69</v>
      </c>
    </row>
    <row r="181" spans="2:5" ht="12" x14ac:dyDescent="0.15">
      <c r="B181" s="130">
        <v>178</v>
      </c>
      <c r="C181" s="118" t="s">
        <v>256</v>
      </c>
      <c r="D181" s="118" t="s">
        <v>110</v>
      </c>
      <c r="E181" s="118" t="s">
        <v>69</v>
      </c>
    </row>
    <row r="182" spans="2:5" ht="12" x14ac:dyDescent="0.15">
      <c r="B182" s="130">
        <v>179</v>
      </c>
      <c r="C182" s="118" t="s">
        <v>257</v>
      </c>
      <c r="D182" s="118" t="s">
        <v>76</v>
      </c>
      <c r="E182" s="118" t="s">
        <v>69</v>
      </c>
    </row>
    <row r="183" spans="2:5" ht="12" x14ac:dyDescent="0.15">
      <c r="B183" s="130">
        <v>180</v>
      </c>
      <c r="C183" s="118" t="s">
        <v>258</v>
      </c>
      <c r="D183" s="118" t="s">
        <v>78</v>
      </c>
      <c r="E183" s="118" t="s">
        <v>69</v>
      </c>
    </row>
    <row r="184" spans="2:5" ht="12" x14ac:dyDescent="0.15">
      <c r="B184" s="130">
        <v>181</v>
      </c>
      <c r="C184" s="118" t="s">
        <v>259</v>
      </c>
      <c r="D184" s="118" t="s">
        <v>110</v>
      </c>
      <c r="E184" s="118" t="s">
        <v>69</v>
      </c>
    </row>
    <row r="185" spans="2:5" ht="12" x14ac:dyDescent="0.15">
      <c r="B185" s="130">
        <v>182</v>
      </c>
      <c r="C185" s="118" t="s">
        <v>260</v>
      </c>
      <c r="D185" s="118" t="s">
        <v>110</v>
      </c>
      <c r="E185" s="118" t="s">
        <v>69</v>
      </c>
    </row>
    <row r="186" spans="2:5" ht="12" x14ac:dyDescent="0.15">
      <c r="B186" s="130">
        <v>183</v>
      </c>
      <c r="C186" s="118" t="s">
        <v>261</v>
      </c>
      <c r="D186" s="118" t="s">
        <v>110</v>
      </c>
      <c r="E186" s="118" t="s">
        <v>69</v>
      </c>
    </row>
    <row r="187" spans="2:5" ht="12" x14ac:dyDescent="0.15">
      <c r="B187" s="130">
        <v>184</v>
      </c>
      <c r="C187" s="118" t="s">
        <v>262</v>
      </c>
      <c r="D187" s="118" t="s">
        <v>110</v>
      </c>
      <c r="E187" s="118" t="s">
        <v>69</v>
      </c>
    </row>
    <row r="188" spans="2:5" ht="12" x14ac:dyDescent="0.15">
      <c r="B188" s="130">
        <v>185</v>
      </c>
      <c r="C188" s="118" t="s">
        <v>263</v>
      </c>
      <c r="D188" s="118" t="s">
        <v>72</v>
      </c>
      <c r="E188" s="118" t="s">
        <v>69</v>
      </c>
    </row>
    <row r="189" spans="2:5" ht="12" x14ac:dyDescent="0.15">
      <c r="B189" s="130">
        <v>186</v>
      </c>
      <c r="C189" s="118" t="s">
        <v>264</v>
      </c>
      <c r="D189" s="118" t="s">
        <v>68</v>
      </c>
      <c r="E189" s="118" t="s">
        <v>69</v>
      </c>
    </row>
    <row r="190" spans="2:5" ht="12" x14ac:dyDescent="0.15">
      <c r="B190" s="130">
        <v>187</v>
      </c>
      <c r="C190" s="118" t="s">
        <v>265</v>
      </c>
      <c r="D190" s="118" t="s">
        <v>76</v>
      </c>
      <c r="E190" s="118" t="s">
        <v>69</v>
      </c>
    </row>
    <row r="191" spans="2:5" ht="12" x14ac:dyDescent="0.15">
      <c r="B191" s="130">
        <v>188</v>
      </c>
      <c r="C191" s="118" t="s">
        <v>266</v>
      </c>
      <c r="D191" s="118" t="s">
        <v>78</v>
      </c>
      <c r="E191" s="118" t="s">
        <v>69</v>
      </c>
    </row>
    <row r="192" spans="2:5" ht="12" x14ac:dyDescent="0.15">
      <c r="B192" s="130">
        <v>189</v>
      </c>
      <c r="C192" s="118" t="s">
        <v>267</v>
      </c>
      <c r="D192" s="118" t="s">
        <v>76</v>
      </c>
      <c r="E192" s="118" t="s">
        <v>69</v>
      </c>
    </row>
    <row r="193" spans="2:5" ht="12" x14ac:dyDescent="0.15">
      <c r="B193" s="130">
        <v>190</v>
      </c>
      <c r="C193" s="118" t="s">
        <v>268</v>
      </c>
      <c r="D193" s="118" t="s">
        <v>179</v>
      </c>
      <c r="E193" s="118" t="s">
        <v>69</v>
      </c>
    </row>
    <row r="194" spans="2:5" ht="12" x14ac:dyDescent="0.15">
      <c r="B194" s="130">
        <v>191</v>
      </c>
      <c r="C194" s="118" t="s">
        <v>269</v>
      </c>
      <c r="D194" s="118" t="s">
        <v>110</v>
      </c>
      <c r="E194" s="118" t="s">
        <v>69</v>
      </c>
    </row>
    <row r="195" spans="2:5" ht="12" x14ac:dyDescent="0.15">
      <c r="B195" s="130">
        <v>192</v>
      </c>
      <c r="C195" s="118" t="s">
        <v>270</v>
      </c>
      <c r="D195" s="118" t="s">
        <v>76</v>
      </c>
      <c r="E195" s="118" t="s">
        <v>69</v>
      </c>
    </row>
    <row r="196" spans="2:5" ht="12" x14ac:dyDescent="0.15">
      <c r="B196" s="130">
        <v>193</v>
      </c>
      <c r="C196" s="118" t="s">
        <v>271</v>
      </c>
      <c r="D196" s="118" t="s">
        <v>78</v>
      </c>
      <c r="E196" s="118" t="s">
        <v>69</v>
      </c>
    </row>
    <row r="197" spans="2:5" ht="12" x14ac:dyDescent="0.15">
      <c r="B197" s="130">
        <v>194</v>
      </c>
      <c r="C197" s="118" t="s">
        <v>272</v>
      </c>
      <c r="D197" s="118" t="s">
        <v>76</v>
      </c>
      <c r="E197" s="118" t="s">
        <v>69</v>
      </c>
    </row>
    <row r="198" spans="2:5" ht="12" x14ac:dyDescent="0.15">
      <c r="B198" s="130">
        <v>195</v>
      </c>
      <c r="C198" s="118" t="s">
        <v>273</v>
      </c>
      <c r="D198" s="118" t="s">
        <v>110</v>
      </c>
      <c r="E198" s="118" t="s">
        <v>69</v>
      </c>
    </row>
    <row r="199" spans="2:5" ht="12" x14ac:dyDescent="0.15">
      <c r="B199" s="130">
        <v>196</v>
      </c>
      <c r="C199" s="118" t="s">
        <v>274</v>
      </c>
      <c r="D199" s="118" t="s">
        <v>110</v>
      </c>
      <c r="E199" s="118" t="s">
        <v>69</v>
      </c>
    </row>
    <row r="200" spans="2:5" ht="12" x14ac:dyDescent="0.15">
      <c r="B200" s="130">
        <v>197</v>
      </c>
      <c r="C200" s="118" t="s">
        <v>275</v>
      </c>
      <c r="D200" s="118" t="s">
        <v>110</v>
      </c>
      <c r="E200" s="118" t="s">
        <v>69</v>
      </c>
    </row>
    <row r="201" spans="2:5" ht="12" x14ac:dyDescent="0.15">
      <c r="B201" s="130">
        <v>198</v>
      </c>
      <c r="C201" s="118" t="s">
        <v>276</v>
      </c>
      <c r="D201" s="118" t="s">
        <v>110</v>
      </c>
      <c r="E201" s="118" t="s">
        <v>69</v>
      </c>
    </row>
    <row r="202" spans="2:5" ht="12" x14ac:dyDescent="0.15">
      <c r="B202" s="130">
        <v>199</v>
      </c>
      <c r="C202" s="118" t="s">
        <v>277</v>
      </c>
      <c r="D202" s="118" t="s">
        <v>110</v>
      </c>
      <c r="E202" s="118" t="s">
        <v>69</v>
      </c>
    </row>
    <row r="203" spans="2:5" ht="12" x14ac:dyDescent="0.15">
      <c r="B203" s="130">
        <v>200</v>
      </c>
      <c r="C203" s="118" t="s">
        <v>278</v>
      </c>
      <c r="D203" s="118" t="s">
        <v>110</v>
      </c>
      <c r="E203" s="118" t="s">
        <v>69</v>
      </c>
    </row>
    <row r="204" spans="2:5" ht="12" x14ac:dyDescent="0.15">
      <c r="B204" s="130">
        <v>201</v>
      </c>
      <c r="C204" s="118" t="s">
        <v>279</v>
      </c>
      <c r="D204" s="118" t="s">
        <v>110</v>
      </c>
      <c r="E204" s="118" t="s">
        <v>69</v>
      </c>
    </row>
    <row r="205" spans="2:5" ht="12" x14ac:dyDescent="0.15">
      <c r="B205" s="130">
        <v>202</v>
      </c>
      <c r="C205" s="118" t="s">
        <v>280</v>
      </c>
      <c r="D205" s="118" t="s">
        <v>110</v>
      </c>
      <c r="E205" s="118" t="s">
        <v>69</v>
      </c>
    </row>
    <row r="206" spans="2:5" ht="12" x14ac:dyDescent="0.15">
      <c r="B206" s="130">
        <v>203</v>
      </c>
      <c r="C206" s="118" t="s">
        <v>281</v>
      </c>
      <c r="D206" s="118" t="s">
        <v>110</v>
      </c>
      <c r="E206" s="118" t="s">
        <v>69</v>
      </c>
    </row>
    <row r="207" spans="2:5" ht="12" x14ac:dyDescent="0.15">
      <c r="B207" s="130">
        <v>204</v>
      </c>
      <c r="C207" s="118" t="s">
        <v>282</v>
      </c>
      <c r="D207" s="118" t="s">
        <v>110</v>
      </c>
      <c r="E207" s="118" t="s">
        <v>69</v>
      </c>
    </row>
    <row r="208" spans="2:5" ht="12" x14ac:dyDescent="0.15">
      <c r="B208" s="130">
        <v>205</v>
      </c>
      <c r="C208" s="118" t="s">
        <v>283</v>
      </c>
      <c r="D208" s="118" t="s">
        <v>76</v>
      </c>
      <c r="E208" s="118" t="s">
        <v>69</v>
      </c>
    </row>
    <row r="209" spans="2:5" ht="12" x14ac:dyDescent="0.15">
      <c r="B209" s="130">
        <v>206</v>
      </c>
      <c r="C209" s="118" t="s">
        <v>284</v>
      </c>
      <c r="D209" s="118" t="s">
        <v>110</v>
      </c>
      <c r="E209" s="118" t="s">
        <v>69</v>
      </c>
    </row>
    <row r="210" spans="2:5" ht="12" x14ac:dyDescent="0.15">
      <c r="B210" s="130">
        <v>207</v>
      </c>
      <c r="C210" s="118" t="s">
        <v>285</v>
      </c>
      <c r="D210" s="118" t="s">
        <v>110</v>
      </c>
      <c r="E210" s="118" t="s">
        <v>69</v>
      </c>
    </row>
    <row r="211" spans="2:5" ht="12" x14ac:dyDescent="0.15">
      <c r="B211" s="130">
        <v>208</v>
      </c>
      <c r="C211" s="118" t="s">
        <v>286</v>
      </c>
      <c r="D211" s="118" t="s">
        <v>110</v>
      </c>
      <c r="E211" s="118" t="s">
        <v>69</v>
      </c>
    </row>
    <row r="212" spans="2:5" ht="12" x14ac:dyDescent="0.15">
      <c r="B212" s="130">
        <v>209</v>
      </c>
      <c r="C212" s="118" t="s">
        <v>287</v>
      </c>
      <c r="D212" s="118" t="s">
        <v>76</v>
      </c>
      <c r="E212" s="118" t="s">
        <v>69</v>
      </c>
    </row>
    <row r="213" spans="2:5" ht="12" x14ac:dyDescent="0.15">
      <c r="B213" s="130">
        <v>210</v>
      </c>
      <c r="C213" s="118" t="s">
        <v>288</v>
      </c>
      <c r="D213" s="118" t="s">
        <v>76</v>
      </c>
      <c r="E213" s="118" t="s">
        <v>69</v>
      </c>
    </row>
    <row r="214" spans="2:5" ht="12" x14ac:dyDescent="0.15">
      <c r="B214" s="130">
        <v>211</v>
      </c>
      <c r="C214" s="118" t="s">
        <v>289</v>
      </c>
      <c r="D214" s="118" t="s">
        <v>110</v>
      </c>
      <c r="E214" s="118" t="s">
        <v>69</v>
      </c>
    </row>
    <row r="215" spans="2:5" ht="12" x14ac:dyDescent="0.15">
      <c r="B215" s="130">
        <v>212</v>
      </c>
      <c r="C215" s="118" t="s">
        <v>290</v>
      </c>
      <c r="D215" s="118" t="s">
        <v>110</v>
      </c>
      <c r="E215" s="118" t="s">
        <v>69</v>
      </c>
    </row>
    <row r="216" spans="2:5" ht="12" x14ac:dyDescent="0.15">
      <c r="B216" s="130">
        <v>213</v>
      </c>
      <c r="C216" s="118" t="s">
        <v>291</v>
      </c>
      <c r="D216" s="118" t="s">
        <v>110</v>
      </c>
      <c r="E216" s="118" t="s">
        <v>69</v>
      </c>
    </row>
    <row r="217" spans="2:5" ht="12" x14ac:dyDescent="0.15">
      <c r="B217" s="130">
        <v>214</v>
      </c>
      <c r="C217" s="118" t="s">
        <v>292</v>
      </c>
      <c r="D217" s="118" t="s">
        <v>110</v>
      </c>
      <c r="E217" s="118" t="s">
        <v>69</v>
      </c>
    </row>
    <row r="218" spans="2:5" ht="12" x14ac:dyDescent="0.15">
      <c r="B218" s="130">
        <v>215</v>
      </c>
      <c r="C218" s="118" t="s">
        <v>293</v>
      </c>
      <c r="D218" s="118" t="s">
        <v>110</v>
      </c>
      <c r="E218" s="118" t="s">
        <v>69</v>
      </c>
    </row>
    <row r="219" spans="2:5" ht="12" x14ac:dyDescent="0.15">
      <c r="B219" s="130">
        <v>216</v>
      </c>
      <c r="C219" s="118" t="s">
        <v>294</v>
      </c>
      <c r="D219" s="118" t="s">
        <v>110</v>
      </c>
      <c r="E219" s="118" t="s">
        <v>69</v>
      </c>
    </row>
    <row r="220" spans="2:5" ht="12" x14ac:dyDescent="0.15">
      <c r="B220" s="130">
        <v>217</v>
      </c>
      <c r="C220" s="118" t="s">
        <v>295</v>
      </c>
      <c r="D220" s="118" t="s">
        <v>110</v>
      </c>
      <c r="E220" s="118" t="s">
        <v>69</v>
      </c>
    </row>
    <row r="221" spans="2:5" ht="12" x14ac:dyDescent="0.15">
      <c r="B221" s="130">
        <v>218</v>
      </c>
      <c r="C221" s="118" t="s">
        <v>296</v>
      </c>
      <c r="D221" s="118" t="s">
        <v>110</v>
      </c>
      <c r="E221" s="118" t="s">
        <v>69</v>
      </c>
    </row>
    <row r="222" spans="2:5" ht="12" x14ac:dyDescent="0.15">
      <c r="B222" s="130">
        <v>219</v>
      </c>
      <c r="C222" s="118" t="s">
        <v>297</v>
      </c>
      <c r="D222" s="118" t="s">
        <v>110</v>
      </c>
      <c r="E222" s="118" t="s">
        <v>69</v>
      </c>
    </row>
    <row r="223" spans="2:5" ht="12" x14ac:dyDescent="0.15">
      <c r="B223" s="130">
        <v>220</v>
      </c>
      <c r="C223" s="118" t="s">
        <v>298</v>
      </c>
      <c r="D223" s="118" t="s">
        <v>76</v>
      </c>
      <c r="E223" s="118" t="s">
        <v>69</v>
      </c>
    </row>
    <row r="224" spans="2:5" ht="12" x14ac:dyDescent="0.15">
      <c r="B224" s="130">
        <v>221</v>
      </c>
      <c r="C224" s="118" t="s">
        <v>299</v>
      </c>
      <c r="D224" s="118" t="s">
        <v>110</v>
      </c>
      <c r="E224" s="118" t="s">
        <v>69</v>
      </c>
    </row>
    <row r="225" spans="2:5" ht="12" x14ac:dyDescent="0.15">
      <c r="B225" s="130">
        <v>222</v>
      </c>
      <c r="C225" s="118" t="s">
        <v>300</v>
      </c>
      <c r="D225" s="118" t="s">
        <v>110</v>
      </c>
      <c r="E225" s="118" t="s">
        <v>69</v>
      </c>
    </row>
    <row r="226" spans="2:5" ht="12" x14ac:dyDescent="0.15">
      <c r="B226" s="130">
        <v>223</v>
      </c>
      <c r="C226" s="118" t="s">
        <v>301</v>
      </c>
      <c r="D226" s="118" t="s">
        <v>110</v>
      </c>
      <c r="E226" s="118" t="s">
        <v>69</v>
      </c>
    </row>
    <row r="227" spans="2:5" ht="12" x14ac:dyDescent="0.15">
      <c r="B227" s="130">
        <v>224</v>
      </c>
      <c r="C227" s="118" t="s">
        <v>302</v>
      </c>
      <c r="D227" s="118" t="s">
        <v>110</v>
      </c>
      <c r="E227" s="118" t="s">
        <v>69</v>
      </c>
    </row>
    <row r="228" spans="2:5" ht="12" x14ac:dyDescent="0.15">
      <c r="B228" s="130">
        <v>225</v>
      </c>
      <c r="C228" s="118" t="s">
        <v>303</v>
      </c>
      <c r="D228" s="118" t="s">
        <v>110</v>
      </c>
      <c r="E228" s="118" t="s">
        <v>69</v>
      </c>
    </row>
    <row r="229" spans="2:5" ht="12" x14ac:dyDescent="0.15">
      <c r="B229" s="130">
        <v>226</v>
      </c>
      <c r="C229" s="118" t="s">
        <v>304</v>
      </c>
      <c r="D229" s="118" t="s">
        <v>110</v>
      </c>
      <c r="E229" s="118" t="s">
        <v>69</v>
      </c>
    </row>
    <row r="230" spans="2:5" ht="12" x14ac:dyDescent="0.15">
      <c r="B230" s="130">
        <v>227</v>
      </c>
      <c r="C230" s="118" t="s">
        <v>305</v>
      </c>
      <c r="D230" s="118" t="s">
        <v>110</v>
      </c>
      <c r="E230" s="118" t="s">
        <v>69</v>
      </c>
    </row>
    <row r="231" spans="2:5" ht="12" x14ac:dyDescent="0.15">
      <c r="B231" s="130">
        <v>228</v>
      </c>
      <c r="C231" s="118" t="s">
        <v>306</v>
      </c>
      <c r="D231" s="118" t="s">
        <v>110</v>
      </c>
      <c r="E231" s="118" t="s">
        <v>69</v>
      </c>
    </row>
    <row r="232" spans="2:5" ht="12" x14ac:dyDescent="0.15">
      <c r="B232" s="130">
        <v>229</v>
      </c>
      <c r="C232" s="118" t="s">
        <v>307</v>
      </c>
      <c r="D232" s="118" t="s">
        <v>110</v>
      </c>
      <c r="E232" s="118" t="s">
        <v>69</v>
      </c>
    </row>
    <row r="233" spans="2:5" ht="12" x14ac:dyDescent="0.15">
      <c r="B233" s="130">
        <v>230</v>
      </c>
      <c r="C233" s="118" t="s">
        <v>308</v>
      </c>
      <c r="D233" s="118" t="s">
        <v>110</v>
      </c>
      <c r="E233" s="118" t="s">
        <v>69</v>
      </c>
    </row>
    <row r="234" spans="2:5" ht="12" x14ac:dyDescent="0.15">
      <c r="B234" s="130">
        <v>231</v>
      </c>
      <c r="C234" s="118" t="s">
        <v>309</v>
      </c>
      <c r="D234" s="118" t="s">
        <v>110</v>
      </c>
      <c r="E234" s="118" t="s">
        <v>69</v>
      </c>
    </row>
    <row r="235" spans="2:5" ht="12" x14ac:dyDescent="0.15">
      <c r="B235" s="130">
        <v>232</v>
      </c>
      <c r="C235" s="118" t="s">
        <v>310</v>
      </c>
      <c r="D235" s="118" t="s">
        <v>110</v>
      </c>
      <c r="E235" s="118" t="s">
        <v>69</v>
      </c>
    </row>
    <row r="236" spans="2:5" ht="12" x14ac:dyDescent="0.15">
      <c r="B236" s="130">
        <v>233</v>
      </c>
      <c r="C236" s="118" t="s">
        <v>311</v>
      </c>
      <c r="D236" s="118" t="s">
        <v>110</v>
      </c>
      <c r="E236" s="118" t="s">
        <v>69</v>
      </c>
    </row>
    <row r="237" spans="2:5" ht="12" x14ac:dyDescent="0.15">
      <c r="B237" s="130">
        <v>234</v>
      </c>
      <c r="C237" s="118" t="s">
        <v>312</v>
      </c>
      <c r="D237" s="118" t="s">
        <v>110</v>
      </c>
      <c r="E237" s="118" t="s">
        <v>69</v>
      </c>
    </row>
    <row r="238" spans="2:5" ht="12" x14ac:dyDescent="0.15">
      <c r="B238" s="130">
        <v>235</v>
      </c>
      <c r="C238" s="118" t="s">
        <v>313</v>
      </c>
      <c r="D238" s="118" t="s">
        <v>110</v>
      </c>
      <c r="E238" s="118" t="s">
        <v>69</v>
      </c>
    </row>
    <row r="239" spans="2:5" ht="12" x14ac:dyDescent="0.15">
      <c r="B239" s="130">
        <v>236</v>
      </c>
      <c r="C239" s="118" t="s">
        <v>314</v>
      </c>
      <c r="D239" s="118" t="s">
        <v>110</v>
      </c>
      <c r="E239" s="118" t="s">
        <v>69</v>
      </c>
    </row>
    <row r="240" spans="2:5" ht="12" x14ac:dyDescent="0.15">
      <c r="B240" s="130">
        <v>237</v>
      </c>
      <c r="C240" s="118" t="s">
        <v>315</v>
      </c>
      <c r="D240" s="118" t="s">
        <v>110</v>
      </c>
      <c r="E240" s="118" t="s">
        <v>69</v>
      </c>
    </row>
    <row r="241" spans="2:5" ht="12" x14ac:dyDescent="0.15">
      <c r="B241" s="130">
        <v>238</v>
      </c>
      <c r="C241" s="118" t="s">
        <v>316</v>
      </c>
      <c r="D241" s="118" t="s">
        <v>110</v>
      </c>
      <c r="E241" s="118" t="s">
        <v>69</v>
      </c>
    </row>
    <row r="242" spans="2:5" ht="12" x14ac:dyDescent="0.15">
      <c r="B242" s="130">
        <v>239</v>
      </c>
      <c r="C242" s="118" t="s">
        <v>317</v>
      </c>
      <c r="D242" s="118" t="s">
        <v>110</v>
      </c>
      <c r="E242" s="118" t="s">
        <v>69</v>
      </c>
    </row>
    <row r="243" spans="2:5" ht="12" x14ac:dyDescent="0.15">
      <c r="B243" s="130">
        <v>240</v>
      </c>
      <c r="C243" s="118" t="s">
        <v>318</v>
      </c>
      <c r="D243" s="118" t="s">
        <v>110</v>
      </c>
      <c r="E243" s="118" t="s">
        <v>69</v>
      </c>
    </row>
    <row r="244" spans="2:5" ht="12" x14ac:dyDescent="0.15">
      <c r="B244" s="130">
        <v>241</v>
      </c>
      <c r="C244" s="118" t="s">
        <v>319</v>
      </c>
      <c r="D244" s="118" t="s">
        <v>110</v>
      </c>
      <c r="E244" s="118" t="s">
        <v>69</v>
      </c>
    </row>
    <row r="245" spans="2:5" ht="12" x14ac:dyDescent="0.15">
      <c r="B245" s="130">
        <v>242</v>
      </c>
      <c r="C245" s="118" t="s">
        <v>320</v>
      </c>
      <c r="D245" s="118" t="s">
        <v>110</v>
      </c>
      <c r="E245" s="118" t="s">
        <v>69</v>
      </c>
    </row>
    <row r="246" spans="2:5" ht="12" x14ac:dyDescent="0.15">
      <c r="B246" s="130">
        <v>243</v>
      </c>
      <c r="C246" s="118" t="s">
        <v>321</v>
      </c>
      <c r="D246" s="118" t="s">
        <v>110</v>
      </c>
      <c r="E246" s="118" t="s">
        <v>69</v>
      </c>
    </row>
    <row r="247" spans="2:5" ht="12" x14ac:dyDescent="0.15">
      <c r="B247" s="130">
        <v>244</v>
      </c>
      <c r="C247" s="118" t="s">
        <v>322</v>
      </c>
      <c r="D247" s="118" t="s">
        <v>110</v>
      </c>
      <c r="E247" s="118" t="s">
        <v>69</v>
      </c>
    </row>
    <row r="248" spans="2:5" ht="12" x14ac:dyDescent="0.15">
      <c r="B248" s="130">
        <v>245</v>
      </c>
      <c r="C248" s="118" t="s">
        <v>323</v>
      </c>
      <c r="D248" s="118" t="s">
        <v>110</v>
      </c>
      <c r="E248" s="118" t="s">
        <v>69</v>
      </c>
    </row>
    <row r="249" spans="2:5" ht="12" x14ac:dyDescent="0.15">
      <c r="B249" s="130">
        <v>246</v>
      </c>
      <c r="C249" s="118" t="s">
        <v>324</v>
      </c>
      <c r="D249" s="118" t="s">
        <v>110</v>
      </c>
      <c r="E249" s="118" t="s">
        <v>69</v>
      </c>
    </row>
    <row r="250" spans="2:5" ht="12" x14ac:dyDescent="0.15">
      <c r="B250" s="130">
        <v>247</v>
      </c>
      <c r="C250" s="118" t="s">
        <v>325</v>
      </c>
      <c r="D250" s="118" t="s">
        <v>110</v>
      </c>
      <c r="E250" s="118" t="s">
        <v>69</v>
      </c>
    </row>
    <row r="251" spans="2:5" ht="12" x14ac:dyDescent="0.15">
      <c r="B251" s="130">
        <v>248</v>
      </c>
      <c r="C251" s="118" t="s">
        <v>326</v>
      </c>
      <c r="D251" s="118" t="s">
        <v>110</v>
      </c>
      <c r="E251" s="118" t="s">
        <v>69</v>
      </c>
    </row>
    <row r="252" spans="2:5" ht="12" x14ac:dyDescent="0.15">
      <c r="B252" s="130">
        <v>249</v>
      </c>
      <c r="C252" s="118" t="s">
        <v>327</v>
      </c>
      <c r="D252" s="118" t="s">
        <v>76</v>
      </c>
      <c r="E252" s="118" t="s">
        <v>69</v>
      </c>
    </row>
    <row r="253" spans="2:5" ht="12" x14ac:dyDescent="0.15">
      <c r="B253" s="130">
        <v>250</v>
      </c>
      <c r="C253" s="118" t="s">
        <v>328</v>
      </c>
      <c r="D253" s="118" t="s">
        <v>110</v>
      </c>
      <c r="E253" s="118" t="s">
        <v>69</v>
      </c>
    </row>
    <row r="254" spans="2:5" ht="12" x14ac:dyDescent="0.15">
      <c r="B254" s="130">
        <v>251</v>
      </c>
      <c r="C254" s="118" t="s">
        <v>329</v>
      </c>
      <c r="D254" s="118" t="s">
        <v>110</v>
      </c>
      <c r="E254" s="118" t="s">
        <v>69</v>
      </c>
    </row>
    <row r="255" spans="2:5" ht="12" x14ac:dyDescent="0.15">
      <c r="B255" s="130">
        <v>252</v>
      </c>
      <c r="C255" s="118" t="s">
        <v>330</v>
      </c>
      <c r="D255" s="118" t="s">
        <v>110</v>
      </c>
      <c r="E255" s="118" t="s">
        <v>69</v>
      </c>
    </row>
    <row r="256" spans="2:5" ht="12" x14ac:dyDescent="0.15">
      <c r="B256" s="130">
        <v>253</v>
      </c>
      <c r="C256" s="118" t="s">
        <v>331</v>
      </c>
      <c r="D256" s="118" t="s">
        <v>78</v>
      </c>
      <c r="E256" s="118" t="s">
        <v>69</v>
      </c>
    </row>
    <row r="257" spans="2:5" ht="12" x14ac:dyDescent="0.15">
      <c r="B257" s="130">
        <v>254</v>
      </c>
      <c r="C257" s="118" t="s">
        <v>332</v>
      </c>
      <c r="D257" s="118" t="s">
        <v>78</v>
      </c>
      <c r="E257" s="118" t="s">
        <v>69</v>
      </c>
    </row>
    <row r="258" spans="2:5" ht="12" x14ac:dyDescent="0.15">
      <c r="B258" s="130">
        <v>255</v>
      </c>
      <c r="C258" s="118" t="s">
        <v>333</v>
      </c>
      <c r="D258" s="118" t="s">
        <v>110</v>
      </c>
      <c r="E258" s="118" t="s">
        <v>69</v>
      </c>
    </row>
    <row r="259" spans="2:5" ht="12" x14ac:dyDescent="0.15">
      <c r="B259" s="130">
        <v>256</v>
      </c>
      <c r="C259" s="118" t="s">
        <v>334</v>
      </c>
      <c r="D259" s="118" t="s">
        <v>76</v>
      </c>
      <c r="E259" s="118" t="s">
        <v>69</v>
      </c>
    </row>
    <row r="260" spans="2:5" ht="12" x14ac:dyDescent="0.15">
      <c r="B260" s="130">
        <v>257</v>
      </c>
      <c r="C260" s="118" t="s">
        <v>335</v>
      </c>
      <c r="D260" s="118" t="s">
        <v>78</v>
      </c>
      <c r="E260" s="118" t="s">
        <v>69</v>
      </c>
    </row>
    <row r="261" spans="2:5" ht="12" x14ac:dyDescent="0.15">
      <c r="B261" s="130">
        <v>258</v>
      </c>
      <c r="C261" s="118" t="s">
        <v>336</v>
      </c>
      <c r="D261" s="118" t="s">
        <v>110</v>
      </c>
      <c r="E261" s="118" t="s">
        <v>69</v>
      </c>
    </row>
    <row r="262" spans="2:5" ht="12" x14ac:dyDescent="0.15">
      <c r="B262" s="130">
        <v>259</v>
      </c>
      <c r="C262" s="118" t="s">
        <v>337</v>
      </c>
      <c r="D262" s="118" t="s">
        <v>110</v>
      </c>
      <c r="E262" s="118" t="s">
        <v>69</v>
      </c>
    </row>
    <row r="263" spans="2:5" ht="12" x14ac:dyDescent="0.15">
      <c r="B263" s="130">
        <v>260</v>
      </c>
      <c r="C263" s="118" t="s">
        <v>338</v>
      </c>
      <c r="D263" s="118" t="s">
        <v>110</v>
      </c>
      <c r="E263" s="118" t="s">
        <v>69</v>
      </c>
    </row>
    <row r="264" spans="2:5" ht="12" x14ac:dyDescent="0.15">
      <c r="B264" s="130">
        <v>261</v>
      </c>
      <c r="C264" s="118" t="s">
        <v>339</v>
      </c>
      <c r="D264" s="118" t="s">
        <v>110</v>
      </c>
      <c r="E264" s="118" t="s">
        <v>69</v>
      </c>
    </row>
    <row r="265" spans="2:5" ht="12" x14ac:dyDescent="0.15">
      <c r="B265" s="130">
        <v>262</v>
      </c>
      <c r="C265" s="118" t="s">
        <v>340</v>
      </c>
      <c r="D265" s="118" t="s">
        <v>110</v>
      </c>
      <c r="E265" s="118" t="s">
        <v>69</v>
      </c>
    </row>
    <row r="266" spans="2:5" ht="12" x14ac:dyDescent="0.15">
      <c r="B266" s="130">
        <v>263</v>
      </c>
      <c r="C266" s="118" t="s">
        <v>341</v>
      </c>
      <c r="D266" s="118" t="s">
        <v>110</v>
      </c>
      <c r="E266" s="118" t="s">
        <v>69</v>
      </c>
    </row>
    <row r="267" spans="2:5" ht="12" x14ac:dyDescent="0.15">
      <c r="B267" s="130">
        <v>264</v>
      </c>
      <c r="C267" s="118" t="s">
        <v>342</v>
      </c>
      <c r="D267" s="118" t="s">
        <v>110</v>
      </c>
      <c r="E267" s="118" t="s">
        <v>69</v>
      </c>
    </row>
    <row r="268" spans="2:5" ht="12" x14ac:dyDescent="0.15">
      <c r="B268" s="130">
        <v>265</v>
      </c>
      <c r="C268" s="118" t="s">
        <v>343</v>
      </c>
      <c r="D268" s="118" t="s">
        <v>110</v>
      </c>
      <c r="E268" s="118" t="s">
        <v>69</v>
      </c>
    </row>
    <row r="269" spans="2:5" ht="12" x14ac:dyDescent="0.15">
      <c r="B269" s="130">
        <v>266</v>
      </c>
      <c r="C269" s="118" t="s">
        <v>344</v>
      </c>
      <c r="D269" s="118" t="s">
        <v>110</v>
      </c>
      <c r="E269" s="118" t="s">
        <v>69</v>
      </c>
    </row>
    <row r="270" spans="2:5" ht="12" x14ac:dyDescent="0.15">
      <c r="B270" s="130">
        <v>267</v>
      </c>
      <c r="C270" s="118" t="s">
        <v>345</v>
      </c>
      <c r="D270" s="118" t="s">
        <v>110</v>
      </c>
      <c r="E270" s="118" t="s">
        <v>69</v>
      </c>
    </row>
    <row r="271" spans="2:5" ht="12" x14ac:dyDescent="0.15">
      <c r="B271" s="130">
        <v>268</v>
      </c>
      <c r="C271" s="118" t="s">
        <v>346</v>
      </c>
      <c r="D271" s="118" t="s">
        <v>110</v>
      </c>
      <c r="E271" s="118" t="s">
        <v>69</v>
      </c>
    </row>
    <row r="272" spans="2:5" ht="12" x14ac:dyDescent="0.15">
      <c r="B272" s="130">
        <v>269</v>
      </c>
      <c r="C272" s="118" t="s">
        <v>347</v>
      </c>
      <c r="D272" s="118" t="s">
        <v>110</v>
      </c>
      <c r="E272" s="118" t="s">
        <v>69</v>
      </c>
    </row>
    <row r="273" spans="2:5" ht="12" x14ac:dyDescent="0.15">
      <c r="B273" s="130">
        <v>270</v>
      </c>
      <c r="C273" s="118" t="s">
        <v>348</v>
      </c>
      <c r="D273" s="118" t="s">
        <v>76</v>
      </c>
      <c r="E273" s="118" t="s">
        <v>69</v>
      </c>
    </row>
    <row r="274" spans="2:5" ht="12" x14ac:dyDescent="0.15">
      <c r="B274" s="130">
        <v>271</v>
      </c>
      <c r="C274" s="118" t="s">
        <v>349</v>
      </c>
      <c r="D274" s="118" t="s">
        <v>110</v>
      </c>
      <c r="E274" s="118" t="s">
        <v>69</v>
      </c>
    </row>
    <row r="275" spans="2:5" ht="12" x14ac:dyDescent="0.15">
      <c r="B275" s="130">
        <v>272</v>
      </c>
      <c r="C275" s="118" t="s">
        <v>350</v>
      </c>
      <c r="D275" s="118" t="s">
        <v>78</v>
      </c>
      <c r="E275" s="118" t="s">
        <v>69</v>
      </c>
    </row>
    <row r="276" spans="2:5" ht="12" x14ac:dyDescent="0.15">
      <c r="B276" s="130">
        <v>273</v>
      </c>
      <c r="C276" s="118" t="s">
        <v>351</v>
      </c>
      <c r="D276" s="118" t="s">
        <v>110</v>
      </c>
      <c r="E276" s="118" t="s">
        <v>69</v>
      </c>
    </row>
    <row r="277" spans="2:5" ht="12" x14ac:dyDescent="0.15">
      <c r="B277" s="130">
        <v>274</v>
      </c>
      <c r="C277" s="118" t="s">
        <v>352</v>
      </c>
      <c r="D277" s="118" t="s">
        <v>110</v>
      </c>
      <c r="E277" s="118" t="s">
        <v>69</v>
      </c>
    </row>
    <row r="278" spans="2:5" ht="12" x14ac:dyDescent="0.15">
      <c r="B278" s="130">
        <v>275</v>
      </c>
      <c r="C278" s="118" t="s">
        <v>353</v>
      </c>
      <c r="D278" s="118" t="s">
        <v>76</v>
      </c>
      <c r="E278" s="118" t="s">
        <v>69</v>
      </c>
    </row>
    <row r="279" spans="2:5" ht="12" x14ac:dyDescent="0.15">
      <c r="B279" s="130">
        <v>276</v>
      </c>
      <c r="C279" s="118" t="s">
        <v>354</v>
      </c>
      <c r="D279" s="118" t="s">
        <v>110</v>
      </c>
      <c r="E279" s="118" t="s">
        <v>69</v>
      </c>
    </row>
    <row r="280" spans="2:5" ht="12" x14ac:dyDescent="0.15">
      <c r="B280" s="130">
        <v>277</v>
      </c>
      <c r="C280" s="118" t="s">
        <v>355</v>
      </c>
      <c r="D280" s="118" t="s">
        <v>154</v>
      </c>
      <c r="E280" s="118" t="s">
        <v>69</v>
      </c>
    </row>
    <row r="281" spans="2:5" ht="12" x14ac:dyDescent="0.15">
      <c r="B281" s="130">
        <v>278</v>
      </c>
      <c r="C281" s="118" t="s">
        <v>356</v>
      </c>
      <c r="D281" s="118" t="s">
        <v>110</v>
      </c>
      <c r="E281" s="118" t="s">
        <v>69</v>
      </c>
    </row>
    <row r="282" spans="2:5" ht="12" x14ac:dyDescent="0.15">
      <c r="B282" s="130">
        <v>279</v>
      </c>
      <c r="C282" s="118" t="s">
        <v>357</v>
      </c>
      <c r="D282" s="118" t="s">
        <v>78</v>
      </c>
      <c r="E282" s="118" t="s">
        <v>69</v>
      </c>
    </row>
    <row r="283" spans="2:5" ht="12" x14ac:dyDescent="0.15">
      <c r="B283" s="130">
        <v>280</v>
      </c>
      <c r="C283" s="118" t="s">
        <v>358</v>
      </c>
      <c r="D283" s="118" t="s">
        <v>110</v>
      </c>
      <c r="E283" s="118" t="s">
        <v>69</v>
      </c>
    </row>
    <row r="284" spans="2:5" ht="12" x14ac:dyDescent="0.15">
      <c r="B284" s="130">
        <v>281</v>
      </c>
      <c r="C284" s="118" t="s">
        <v>359</v>
      </c>
      <c r="D284" s="118" t="s">
        <v>110</v>
      </c>
      <c r="E284" s="118" t="s">
        <v>69</v>
      </c>
    </row>
    <row r="285" spans="2:5" ht="12" x14ac:dyDescent="0.15">
      <c r="B285" s="130">
        <v>282</v>
      </c>
      <c r="C285" s="118" t="s">
        <v>360</v>
      </c>
      <c r="D285" s="118" t="s">
        <v>76</v>
      </c>
      <c r="E285" s="118" t="s">
        <v>69</v>
      </c>
    </row>
    <row r="286" spans="2:5" ht="12" x14ac:dyDescent="0.15">
      <c r="B286" s="130">
        <v>283</v>
      </c>
      <c r="C286" s="118" t="s">
        <v>361</v>
      </c>
      <c r="D286" s="118" t="s">
        <v>76</v>
      </c>
      <c r="E286" s="118" t="s">
        <v>69</v>
      </c>
    </row>
    <row r="287" spans="2:5" ht="12" x14ac:dyDescent="0.15">
      <c r="B287" s="130">
        <v>284</v>
      </c>
      <c r="C287" s="118" t="s">
        <v>362</v>
      </c>
      <c r="D287" s="118" t="s">
        <v>78</v>
      </c>
      <c r="E287" s="118" t="s">
        <v>69</v>
      </c>
    </row>
    <row r="288" spans="2:5" ht="12" x14ac:dyDescent="0.15">
      <c r="B288" s="130">
        <v>285</v>
      </c>
      <c r="C288" s="118" t="s">
        <v>363</v>
      </c>
      <c r="D288" s="118" t="s">
        <v>110</v>
      </c>
      <c r="E288" s="118" t="s">
        <v>69</v>
      </c>
    </row>
    <row r="289" spans="2:5" ht="12" x14ac:dyDescent="0.15">
      <c r="B289" s="130">
        <v>286</v>
      </c>
      <c r="C289" s="118" t="s">
        <v>364</v>
      </c>
      <c r="D289" s="118" t="s">
        <v>78</v>
      </c>
      <c r="E289" s="118" t="s">
        <v>69</v>
      </c>
    </row>
    <row r="290" spans="2:5" ht="12" x14ac:dyDescent="0.15">
      <c r="B290" s="130">
        <v>287</v>
      </c>
      <c r="C290" s="118" t="s">
        <v>365</v>
      </c>
      <c r="D290" s="118" t="s">
        <v>110</v>
      </c>
      <c r="E290" s="118" t="s">
        <v>69</v>
      </c>
    </row>
    <row r="291" spans="2:5" ht="12" x14ac:dyDescent="0.15">
      <c r="B291" s="130">
        <v>288</v>
      </c>
      <c r="C291" s="118" t="s">
        <v>366</v>
      </c>
      <c r="D291" s="118" t="s">
        <v>179</v>
      </c>
      <c r="E291" s="118" t="s">
        <v>69</v>
      </c>
    </row>
    <row r="292" spans="2:5" ht="12" x14ac:dyDescent="0.15">
      <c r="B292" s="130">
        <v>289</v>
      </c>
      <c r="C292" s="118" t="s">
        <v>367</v>
      </c>
      <c r="D292" s="118" t="s">
        <v>110</v>
      </c>
      <c r="E292" s="118" t="s">
        <v>69</v>
      </c>
    </row>
    <row r="293" spans="2:5" ht="12" x14ac:dyDescent="0.15">
      <c r="B293" s="130">
        <v>290</v>
      </c>
      <c r="C293" s="118" t="s">
        <v>368</v>
      </c>
      <c r="D293" s="118" t="s">
        <v>110</v>
      </c>
      <c r="E293" s="118" t="s">
        <v>69</v>
      </c>
    </row>
    <row r="294" spans="2:5" ht="12" x14ac:dyDescent="0.15">
      <c r="B294" s="130">
        <v>291</v>
      </c>
      <c r="C294" s="118" t="s">
        <v>369</v>
      </c>
      <c r="D294" s="118" t="s">
        <v>110</v>
      </c>
      <c r="E294" s="118" t="s">
        <v>69</v>
      </c>
    </row>
    <row r="295" spans="2:5" ht="12" x14ac:dyDescent="0.15">
      <c r="B295" s="130">
        <v>292</v>
      </c>
      <c r="C295" s="118" t="s">
        <v>370</v>
      </c>
      <c r="D295" s="118" t="s">
        <v>110</v>
      </c>
      <c r="E295" s="118" t="s">
        <v>69</v>
      </c>
    </row>
    <row r="296" spans="2:5" ht="12" x14ac:dyDescent="0.15">
      <c r="B296" s="130">
        <v>293</v>
      </c>
      <c r="C296" s="118" t="s">
        <v>371</v>
      </c>
      <c r="D296" s="118" t="s">
        <v>110</v>
      </c>
      <c r="E296" s="118" t="s">
        <v>69</v>
      </c>
    </row>
    <row r="297" spans="2:5" ht="12" x14ac:dyDescent="0.15">
      <c r="B297" s="130">
        <v>294</v>
      </c>
      <c r="C297" s="118" t="s">
        <v>372</v>
      </c>
      <c r="D297" s="118" t="s">
        <v>110</v>
      </c>
      <c r="E297" s="118" t="s">
        <v>69</v>
      </c>
    </row>
    <row r="298" spans="2:5" ht="12" x14ac:dyDescent="0.15">
      <c r="B298" s="130">
        <v>295</v>
      </c>
      <c r="C298" s="118" t="s">
        <v>373</v>
      </c>
      <c r="D298" s="118" t="s">
        <v>110</v>
      </c>
      <c r="E298" s="118" t="s">
        <v>69</v>
      </c>
    </row>
    <row r="299" spans="2:5" ht="12" x14ac:dyDescent="0.15">
      <c r="B299" s="130">
        <v>296</v>
      </c>
      <c r="C299" s="118" t="s">
        <v>374</v>
      </c>
      <c r="D299" s="118" t="s">
        <v>110</v>
      </c>
      <c r="E299" s="118" t="s">
        <v>69</v>
      </c>
    </row>
    <row r="300" spans="2:5" ht="12" x14ac:dyDescent="0.15">
      <c r="B300" s="130">
        <v>297</v>
      </c>
      <c r="C300" s="118" t="s">
        <v>375</v>
      </c>
      <c r="D300" s="118" t="s">
        <v>110</v>
      </c>
      <c r="E300" s="118" t="s">
        <v>69</v>
      </c>
    </row>
    <row r="301" spans="2:5" ht="12" x14ac:dyDescent="0.15">
      <c r="B301" s="130">
        <v>298</v>
      </c>
      <c r="C301" s="118" t="s">
        <v>376</v>
      </c>
      <c r="D301" s="118" t="s">
        <v>110</v>
      </c>
      <c r="E301" s="118" t="s">
        <v>69</v>
      </c>
    </row>
    <row r="302" spans="2:5" ht="12" x14ac:dyDescent="0.15">
      <c r="B302" s="130">
        <v>299</v>
      </c>
      <c r="C302" s="118" t="s">
        <v>377</v>
      </c>
      <c r="D302" s="118" t="s">
        <v>110</v>
      </c>
      <c r="E302" s="118" t="s">
        <v>69</v>
      </c>
    </row>
    <row r="303" spans="2:5" ht="12" x14ac:dyDescent="0.15">
      <c r="B303" s="130">
        <v>300</v>
      </c>
      <c r="C303" s="118" t="s">
        <v>378</v>
      </c>
      <c r="D303" s="118" t="s">
        <v>110</v>
      </c>
      <c r="E303" s="118" t="s">
        <v>69</v>
      </c>
    </row>
    <row r="304" spans="2:5" ht="12" x14ac:dyDescent="0.15">
      <c r="B304" s="130">
        <v>301</v>
      </c>
      <c r="C304" s="118" t="s">
        <v>379</v>
      </c>
      <c r="D304" s="118" t="s">
        <v>110</v>
      </c>
      <c r="E304" s="118" t="s">
        <v>69</v>
      </c>
    </row>
    <row r="305" spans="2:5" ht="12" x14ac:dyDescent="0.15">
      <c r="B305" s="130">
        <v>302</v>
      </c>
      <c r="C305" s="118" t="s">
        <v>380</v>
      </c>
      <c r="D305" s="118" t="s">
        <v>110</v>
      </c>
      <c r="E305" s="118" t="s">
        <v>69</v>
      </c>
    </row>
    <row r="306" spans="2:5" ht="12" x14ac:dyDescent="0.15">
      <c r="B306" s="130">
        <v>303</v>
      </c>
      <c r="C306" s="118" t="s">
        <v>381</v>
      </c>
      <c r="D306" s="118" t="s">
        <v>110</v>
      </c>
      <c r="E306" s="118" t="s">
        <v>69</v>
      </c>
    </row>
    <row r="307" spans="2:5" ht="12" x14ac:dyDescent="0.15">
      <c r="B307" s="130">
        <v>304</v>
      </c>
      <c r="C307" s="118" t="s">
        <v>382</v>
      </c>
      <c r="D307" s="118" t="s">
        <v>110</v>
      </c>
      <c r="E307" s="118" t="s">
        <v>69</v>
      </c>
    </row>
    <row r="308" spans="2:5" ht="12" x14ac:dyDescent="0.15">
      <c r="B308" s="130">
        <v>305</v>
      </c>
      <c r="C308" s="118" t="s">
        <v>383</v>
      </c>
      <c r="D308" s="118" t="s">
        <v>110</v>
      </c>
      <c r="E308" s="118" t="s">
        <v>69</v>
      </c>
    </row>
    <row r="309" spans="2:5" ht="12" x14ac:dyDescent="0.15">
      <c r="B309" s="130">
        <v>306</v>
      </c>
      <c r="C309" s="118" t="s">
        <v>384</v>
      </c>
      <c r="D309" s="118" t="s">
        <v>110</v>
      </c>
      <c r="E309" s="118" t="s">
        <v>69</v>
      </c>
    </row>
    <row r="310" spans="2:5" ht="12" x14ac:dyDescent="0.15">
      <c r="B310" s="130">
        <v>307</v>
      </c>
      <c r="C310" s="118" t="s">
        <v>385</v>
      </c>
      <c r="D310" s="118" t="s">
        <v>110</v>
      </c>
      <c r="E310" s="118" t="s">
        <v>69</v>
      </c>
    </row>
    <row r="311" spans="2:5" ht="12" x14ac:dyDescent="0.15">
      <c r="B311" s="130">
        <v>308</v>
      </c>
      <c r="C311" s="118" t="s">
        <v>386</v>
      </c>
      <c r="D311" s="118" t="s">
        <v>110</v>
      </c>
      <c r="E311" s="118" t="s">
        <v>69</v>
      </c>
    </row>
    <row r="312" spans="2:5" ht="12" x14ac:dyDescent="0.15">
      <c r="B312" s="130">
        <v>309</v>
      </c>
      <c r="C312" s="118" t="s">
        <v>387</v>
      </c>
      <c r="D312" s="118" t="s">
        <v>110</v>
      </c>
      <c r="E312" s="118" t="s">
        <v>69</v>
      </c>
    </row>
    <row r="313" spans="2:5" ht="12" x14ac:dyDescent="0.15">
      <c r="B313" s="130">
        <v>310</v>
      </c>
      <c r="C313" s="118" t="s">
        <v>388</v>
      </c>
      <c r="D313" s="118" t="s">
        <v>110</v>
      </c>
      <c r="E313" s="118" t="s">
        <v>69</v>
      </c>
    </row>
    <row r="314" spans="2:5" ht="12" x14ac:dyDescent="0.15">
      <c r="B314" s="130">
        <v>311</v>
      </c>
      <c r="C314" s="118" t="s">
        <v>389</v>
      </c>
      <c r="D314" s="118" t="s">
        <v>110</v>
      </c>
      <c r="E314" s="118" t="s">
        <v>69</v>
      </c>
    </row>
    <row r="315" spans="2:5" ht="12" x14ac:dyDescent="0.15">
      <c r="B315" s="130">
        <v>312</v>
      </c>
      <c r="C315" s="118" t="s">
        <v>390</v>
      </c>
      <c r="D315" s="118" t="s">
        <v>110</v>
      </c>
      <c r="E315" s="118" t="s">
        <v>69</v>
      </c>
    </row>
    <row r="316" spans="2:5" ht="12" x14ac:dyDescent="0.15">
      <c r="B316" s="130">
        <v>313</v>
      </c>
      <c r="C316" s="118" t="s">
        <v>391</v>
      </c>
      <c r="D316" s="118" t="s">
        <v>179</v>
      </c>
      <c r="E316" s="118" t="s">
        <v>69</v>
      </c>
    </row>
    <row r="317" spans="2:5" ht="12" x14ac:dyDescent="0.15">
      <c r="B317" s="130">
        <v>314</v>
      </c>
      <c r="C317" s="118" t="s">
        <v>392</v>
      </c>
      <c r="D317" s="118" t="s">
        <v>76</v>
      </c>
      <c r="E317" s="118" t="s">
        <v>69</v>
      </c>
    </row>
    <row r="318" spans="2:5" ht="12" x14ac:dyDescent="0.15">
      <c r="B318" s="130">
        <v>315</v>
      </c>
      <c r="C318" s="118" t="s">
        <v>393</v>
      </c>
      <c r="D318" s="118" t="s">
        <v>110</v>
      </c>
      <c r="E318" s="118" t="s">
        <v>69</v>
      </c>
    </row>
    <row r="319" spans="2:5" ht="12" x14ac:dyDescent="0.15">
      <c r="B319" s="130">
        <v>316</v>
      </c>
      <c r="C319" s="118" t="s">
        <v>394</v>
      </c>
      <c r="D319" s="118" t="s">
        <v>76</v>
      </c>
      <c r="E319" s="118" t="s">
        <v>69</v>
      </c>
    </row>
    <row r="320" spans="2:5" ht="12" x14ac:dyDescent="0.15">
      <c r="B320" s="130">
        <v>317</v>
      </c>
      <c r="C320" s="118" t="s">
        <v>395</v>
      </c>
      <c r="D320" s="118" t="s">
        <v>110</v>
      </c>
      <c r="E320" s="118" t="s">
        <v>69</v>
      </c>
    </row>
    <row r="321" spans="2:5" ht="12" x14ac:dyDescent="0.15">
      <c r="B321" s="130">
        <v>318</v>
      </c>
      <c r="C321" s="118" t="s">
        <v>396</v>
      </c>
      <c r="D321" s="118" t="s">
        <v>179</v>
      </c>
      <c r="E321" s="118" t="s">
        <v>69</v>
      </c>
    </row>
    <row r="322" spans="2:5" ht="12" x14ac:dyDescent="0.15">
      <c r="B322" s="130">
        <v>319</v>
      </c>
      <c r="C322" s="118" t="s">
        <v>397</v>
      </c>
      <c r="D322" s="118" t="s">
        <v>110</v>
      </c>
      <c r="E322" s="118" t="s">
        <v>69</v>
      </c>
    </row>
    <row r="323" spans="2:5" ht="12" x14ac:dyDescent="0.15">
      <c r="B323" s="130">
        <v>320</v>
      </c>
      <c r="C323" s="118" t="s">
        <v>398</v>
      </c>
      <c r="D323" s="118" t="s">
        <v>110</v>
      </c>
      <c r="E323" s="118" t="s">
        <v>69</v>
      </c>
    </row>
    <row r="324" spans="2:5" ht="12" x14ac:dyDescent="0.15">
      <c r="B324" s="130">
        <v>321</v>
      </c>
      <c r="C324" s="118" t="s">
        <v>399</v>
      </c>
      <c r="D324" s="118" t="s">
        <v>110</v>
      </c>
      <c r="E324" s="118" t="s">
        <v>69</v>
      </c>
    </row>
    <row r="325" spans="2:5" ht="12" x14ac:dyDescent="0.15">
      <c r="B325" s="130">
        <v>322</v>
      </c>
      <c r="C325" s="118" t="s">
        <v>400</v>
      </c>
      <c r="D325" s="118" t="s">
        <v>110</v>
      </c>
      <c r="E325" s="118" t="s">
        <v>69</v>
      </c>
    </row>
    <row r="326" spans="2:5" ht="12" x14ac:dyDescent="0.15">
      <c r="B326" s="130">
        <v>323</v>
      </c>
      <c r="C326" s="118" t="s">
        <v>401</v>
      </c>
      <c r="D326" s="118" t="s">
        <v>110</v>
      </c>
      <c r="E326" s="118" t="s">
        <v>69</v>
      </c>
    </row>
    <row r="327" spans="2:5" ht="12" x14ac:dyDescent="0.15">
      <c r="B327" s="130">
        <v>324</v>
      </c>
      <c r="C327" s="118" t="s">
        <v>402</v>
      </c>
      <c r="D327" s="118" t="s">
        <v>110</v>
      </c>
      <c r="E327" s="118" t="s">
        <v>69</v>
      </c>
    </row>
    <row r="328" spans="2:5" ht="12" x14ac:dyDescent="0.15">
      <c r="B328" s="130">
        <v>325</v>
      </c>
      <c r="C328" s="118" t="s">
        <v>403</v>
      </c>
      <c r="D328" s="118" t="s">
        <v>110</v>
      </c>
      <c r="E328" s="118" t="s">
        <v>69</v>
      </c>
    </row>
    <row r="329" spans="2:5" ht="12" x14ac:dyDescent="0.15">
      <c r="B329" s="130">
        <v>326</v>
      </c>
      <c r="C329" s="118" t="s">
        <v>404</v>
      </c>
      <c r="D329" s="118" t="s">
        <v>110</v>
      </c>
      <c r="E329" s="118" t="s">
        <v>69</v>
      </c>
    </row>
    <row r="330" spans="2:5" ht="12" x14ac:dyDescent="0.15">
      <c r="B330" s="130">
        <v>327</v>
      </c>
      <c r="C330" s="118" t="s">
        <v>405</v>
      </c>
      <c r="D330" s="118" t="s">
        <v>179</v>
      </c>
      <c r="E330" s="118" t="s">
        <v>69</v>
      </c>
    </row>
    <row r="331" spans="2:5" ht="12" x14ac:dyDescent="0.15">
      <c r="B331" s="130">
        <v>328</v>
      </c>
      <c r="C331" s="118" t="s">
        <v>406</v>
      </c>
      <c r="D331" s="118" t="s">
        <v>110</v>
      </c>
      <c r="E331" s="118" t="s">
        <v>69</v>
      </c>
    </row>
    <row r="332" spans="2:5" ht="12" x14ac:dyDescent="0.15">
      <c r="B332" s="130">
        <v>329</v>
      </c>
      <c r="C332" s="118" t="s">
        <v>407</v>
      </c>
      <c r="D332" s="118" t="s">
        <v>110</v>
      </c>
      <c r="E332" s="118" t="s">
        <v>69</v>
      </c>
    </row>
    <row r="333" spans="2:5" ht="12" x14ac:dyDescent="0.15">
      <c r="B333" s="130">
        <v>330</v>
      </c>
      <c r="C333" s="118" t="s">
        <v>408</v>
      </c>
      <c r="D333" s="118" t="s">
        <v>110</v>
      </c>
      <c r="E333" s="118" t="s">
        <v>69</v>
      </c>
    </row>
    <row r="334" spans="2:5" ht="12" x14ac:dyDescent="0.15">
      <c r="B334" s="130">
        <v>331</v>
      </c>
      <c r="C334" s="118" t="s">
        <v>409</v>
      </c>
      <c r="D334" s="118" t="s">
        <v>110</v>
      </c>
      <c r="E334" s="118" t="s">
        <v>69</v>
      </c>
    </row>
    <row r="335" spans="2:5" ht="12" x14ac:dyDescent="0.15">
      <c r="B335" s="130">
        <v>332</v>
      </c>
      <c r="C335" s="118" t="s">
        <v>410</v>
      </c>
      <c r="D335" s="118" t="s">
        <v>110</v>
      </c>
      <c r="E335" s="118" t="s">
        <v>69</v>
      </c>
    </row>
    <row r="336" spans="2:5" ht="12" x14ac:dyDescent="0.15">
      <c r="B336" s="130">
        <v>333</v>
      </c>
      <c r="C336" s="118" t="s">
        <v>411</v>
      </c>
      <c r="D336" s="118" t="s">
        <v>76</v>
      </c>
      <c r="E336" s="118" t="s">
        <v>69</v>
      </c>
    </row>
    <row r="337" spans="2:5" ht="12" x14ac:dyDescent="0.15">
      <c r="B337" s="130">
        <v>334</v>
      </c>
      <c r="C337" s="118" t="s">
        <v>412</v>
      </c>
      <c r="D337" s="118" t="s">
        <v>110</v>
      </c>
      <c r="E337" s="118" t="s">
        <v>69</v>
      </c>
    </row>
    <row r="338" spans="2:5" ht="12" x14ac:dyDescent="0.15">
      <c r="B338" s="130">
        <v>335</v>
      </c>
      <c r="C338" s="118" t="s">
        <v>413</v>
      </c>
      <c r="D338" s="118" t="s">
        <v>76</v>
      </c>
      <c r="E338" s="118" t="s">
        <v>69</v>
      </c>
    </row>
    <row r="339" spans="2:5" ht="12" x14ac:dyDescent="0.15">
      <c r="B339" s="130">
        <v>336</v>
      </c>
      <c r="C339" s="118" t="s">
        <v>414</v>
      </c>
      <c r="D339" s="118" t="s">
        <v>110</v>
      </c>
      <c r="E339" s="118" t="s">
        <v>69</v>
      </c>
    </row>
    <row r="340" spans="2:5" ht="12" x14ac:dyDescent="0.15">
      <c r="B340" s="130">
        <v>337</v>
      </c>
      <c r="C340" s="118" t="s">
        <v>415</v>
      </c>
      <c r="D340" s="118" t="s">
        <v>110</v>
      </c>
      <c r="E340" s="118" t="s">
        <v>69</v>
      </c>
    </row>
    <row r="341" spans="2:5" ht="12" x14ac:dyDescent="0.15">
      <c r="B341" s="130">
        <v>338</v>
      </c>
      <c r="C341" s="118" t="s">
        <v>416</v>
      </c>
      <c r="D341" s="118" t="s">
        <v>110</v>
      </c>
      <c r="E341" s="118" t="s">
        <v>69</v>
      </c>
    </row>
    <row r="342" spans="2:5" ht="12" x14ac:dyDescent="0.15">
      <c r="B342" s="130">
        <v>339</v>
      </c>
      <c r="C342" s="118" t="s">
        <v>417</v>
      </c>
      <c r="D342" s="118" t="s">
        <v>76</v>
      </c>
      <c r="E342" s="118" t="s">
        <v>69</v>
      </c>
    </row>
    <row r="343" spans="2:5" ht="12" x14ac:dyDescent="0.15">
      <c r="B343" s="130">
        <v>340</v>
      </c>
      <c r="C343" s="118" t="s">
        <v>418</v>
      </c>
      <c r="D343" s="118" t="s">
        <v>110</v>
      </c>
      <c r="E343" s="118" t="s">
        <v>69</v>
      </c>
    </row>
    <row r="344" spans="2:5" ht="12" x14ac:dyDescent="0.15">
      <c r="B344" s="130">
        <v>341</v>
      </c>
      <c r="C344" s="118" t="s">
        <v>419</v>
      </c>
      <c r="D344" s="118" t="s">
        <v>76</v>
      </c>
      <c r="E344" s="118" t="s">
        <v>69</v>
      </c>
    </row>
    <row r="345" spans="2:5" ht="12" x14ac:dyDescent="0.15">
      <c r="B345" s="130">
        <v>342</v>
      </c>
      <c r="C345" s="118" t="s">
        <v>420</v>
      </c>
      <c r="D345" s="118" t="s">
        <v>110</v>
      </c>
      <c r="E345" s="118" t="s">
        <v>69</v>
      </c>
    </row>
    <row r="346" spans="2:5" ht="12" x14ac:dyDescent="0.15">
      <c r="B346" s="130">
        <v>343</v>
      </c>
      <c r="C346" s="118" t="s">
        <v>421</v>
      </c>
      <c r="D346" s="118" t="s">
        <v>110</v>
      </c>
      <c r="E346" s="118" t="s">
        <v>69</v>
      </c>
    </row>
    <row r="347" spans="2:5" ht="12" x14ac:dyDescent="0.15">
      <c r="B347" s="130">
        <v>344</v>
      </c>
      <c r="C347" s="118" t="s">
        <v>422</v>
      </c>
      <c r="D347" s="118" t="s">
        <v>110</v>
      </c>
      <c r="E347" s="118" t="s">
        <v>69</v>
      </c>
    </row>
    <row r="348" spans="2:5" ht="12" x14ac:dyDescent="0.15">
      <c r="B348" s="130">
        <v>345</v>
      </c>
      <c r="C348" s="118" t="s">
        <v>423</v>
      </c>
      <c r="D348" s="118" t="s">
        <v>110</v>
      </c>
      <c r="E348" s="118" t="s">
        <v>69</v>
      </c>
    </row>
    <row r="349" spans="2:5" ht="12" x14ac:dyDescent="0.15">
      <c r="B349" s="130">
        <v>346</v>
      </c>
      <c r="C349" s="118" t="s">
        <v>424</v>
      </c>
      <c r="D349" s="118" t="s">
        <v>110</v>
      </c>
      <c r="E349" s="118" t="s">
        <v>69</v>
      </c>
    </row>
    <row r="350" spans="2:5" ht="12" x14ac:dyDescent="0.15">
      <c r="B350" s="130">
        <v>347</v>
      </c>
      <c r="C350" s="118" t="s">
        <v>425</v>
      </c>
      <c r="D350" s="118" t="s">
        <v>110</v>
      </c>
      <c r="E350" s="118" t="s">
        <v>69</v>
      </c>
    </row>
    <row r="351" spans="2:5" ht="12" x14ac:dyDescent="0.15">
      <c r="B351" s="130">
        <v>348</v>
      </c>
      <c r="C351" s="118" t="s">
        <v>426</v>
      </c>
      <c r="D351" s="118" t="s">
        <v>110</v>
      </c>
      <c r="E351" s="118" t="s">
        <v>69</v>
      </c>
    </row>
    <row r="352" spans="2:5" ht="12" x14ac:dyDescent="0.15">
      <c r="B352" s="130">
        <v>349</v>
      </c>
      <c r="C352" s="118" t="s">
        <v>427</v>
      </c>
      <c r="D352" s="118" t="s">
        <v>110</v>
      </c>
      <c r="E352" s="118" t="s">
        <v>69</v>
      </c>
    </row>
    <row r="353" spans="2:5" ht="12" x14ac:dyDescent="0.15">
      <c r="B353" s="130">
        <v>350</v>
      </c>
      <c r="C353" s="118" t="s">
        <v>428</v>
      </c>
      <c r="D353" s="118" t="s">
        <v>110</v>
      </c>
      <c r="E353" s="118" t="s">
        <v>69</v>
      </c>
    </row>
    <row r="354" spans="2:5" ht="12" x14ac:dyDescent="0.15">
      <c r="B354" s="130">
        <v>351</v>
      </c>
      <c r="C354" s="118" t="s">
        <v>429</v>
      </c>
      <c r="D354" s="118" t="s">
        <v>110</v>
      </c>
      <c r="E354" s="118" t="s">
        <v>69</v>
      </c>
    </row>
    <row r="355" spans="2:5" ht="12" x14ac:dyDescent="0.15">
      <c r="B355" s="130">
        <v>352</v>
      </c>
      <c r="C355" s="118" t="s">
        <v>430</v>
      </c>
      <c r="D355" s="118" t="s">
        <v>110</v>
      </c>
      <c r="E355" s="118" t="s">
        <v>69</v>
      </c>
    </row>
    <row r="356" spans="2:5" ht="12" x14ac:dyDescent="0.15">
      <c r="B356" s="130">
        <v>353</v>
      </c>
      <c r="C356" s="118" t="s">
        <v>431</v>
      </c>
      <c r="D356" s="118" t="s">
        <v>179</v>
      </c>
      <c r="E356" s="118" t="s">
        <v>69</v>
      </c>
    </row>
    <row r="357" spans="2:5" ht="12" x14ac:dyDescent="0.15">
      <c r="B357" s="130">
        <v>354</v>
      </c>
      <c r="C357" s="118" t="s">
        <v>432</v>
      </c>
      <c r="D357" s="118" t="s">
        <v>110</v>
      </c>
      <c r="E357" s="118" t="s">
        <v>69</v>
      </c>
    </row>
    <row r="358" spans="2:5" ht="12" x14ac:dyDescent="0.15">
      <c r="B358" s="130">
        <v>355</v>
      </c>
      <c r="C358" s="118" t="s">
        <v>433</v>
      </c>
      <c r="D358" s="118" t="s">
        <v>110</v>
      </c>
      <c r="E358" s="118" t="s">
        <v>69</v>
      </c>
    </row>
    <row r="359" spans="2:5" ht="12" x14ac:dyDescent="0.15">
      <c r="B359" s="130">
        <v>356</v>
      </c>
      <c r="C359" s="118" t="s">
        <v>434</v>
      </c>
      <c r="D359" s="118" t="s">
        <v>76</v>
      </c>
      <c r="E359" s="118" t="s">
        <v>69</v>
      </c>
    </row>
    <row r="360" spans="2:5" ht="12" x14ac:dyDescent="0.15">
      <c r="B360" s="130">
        <v>357</v>
      </c>
      <c r="C360" s="118" t="s">
        <v>435</v>
      </c>
      <c r="D360" s="118" t="s">
        <v>110</v>
      </c>
      <c r="E360" s="118" t="s">
        <v>69</v>
      </c>
    </row>
    <row r="361" spans="2:5" ht="12" x14ac:dyDescent="0.15">
      <c r="B361" s="130">
        <v>358</v>
      </c>
      <c r="C361" s="118" t="s">
        <v>436</v>
      </c>
      <c r="D361" s="118" t="s">
        <v>110</v>
      </c>
      <c r="E361" s="118" t="s">
        <v>69</v>
      </c>
    </row>
    <row r="362" spans="2:5" ht="12" x14ac:dyDescent="0.15">
      <c r="B362" s="130">
        <v>359</v>
      </c>
      <c r="C362" s="118" t="s">
        <v>437</v>
      </c>
      <c r="D362" s="118" t="s">
        <v>110</v>
      </c>
      <c r="E362" s="118" t="s">
        <v>69</v>
      </c>
    </row>
    <row r="363" spans="2:5" ht="12" x14ac:dyDescent="0.15">
      <c r="B363" s="130">
        <v>360</v>
      </c>
      <c r="C363" s="118" t="s">
        <v>438</v>
      </c>
      <c r="D363" s="118" t="s">
        <v>110</v>
      </c>
      <c r="E363" s="118" t="s">
        <v>69</v>
      </c>
    </row>
    <row r="364" spans="2:5" ht="12" x14ac:dyDescent="0.15">
      <c r="B364" s="130">
        <v>361</v>
      </c>
      <c r="C364" s="118" t="s">
        <v>439</v>
      </c>
      <c r="D364" s="118" t="s">
        <v>110</v>
      </c>
      <c r="E364" s="118" t="s">
        <v>69</v>
      </c>
    </row>
    <row r="365" spans="2:5" ht="12" x14ac:dyDescent="0.15">
      <c r="B365" s="130">
        <v>362</v>
      </c>
      <c r="C365" s="118" t="s">
        <v>440</v>
      </c>
      <c r="D365" s="118" t="s">
        <v>110</v>
      </c>
      <c r="E365" s="118" t="s">
        <v>69</v>
      </c>
    </row>
    <row r="366" spans="2:5" ht="12" x14ac:dyDescent="0.15">
      <c r="B366" s="130">
        <v>363</v>
      </c>
      <c r="C366" s="118" t="s">
        <v>441</v>
      </c>
      <c r="D366" s="118" t="s">
        <v>76</v>
      </c>
      <c r="E366" s="118" t="s">
        <v>69</v>
      </c>
    </row>
    <row r="367" spans="2:5" ht="12" x14ac:dyDescent="0.15">
      <c r="B367" s="130">
        <v>364</v>
      </c>
      <c r="C367" s="118" t="s">
        <v>442</v>
      </c>
      <c r="D367" s="118" t="s">
        <v>110</v>
      </c>
      <c r="E367" s="118" t="s">
        <v>69</v>
      </c>
    </row>
    <row r="368" spans="2:5" ht="12" x14ac:dyDescent="0.15">
      <c r="B368" s="130">
        <v>365</v>
      </c>
      <c r="C368" s="118" t="s">
        <v>443</v>
      </c>
      <c r="D368" s="118" t="s">
        <v>110</v>
      </c>
      <c r="E368" s="118" t="s">
        <v>69</v>
      </c>
    </row>
    <row r="369" spans="2:5" ht="12" x14ac:dyDescent="0.15">
      <c r="B369" s="130">
        <v>366</v>
      </c>
      <c r="C369" s="118" t="s">
        <v>444</v>
      </c>
      <c r="D369" s="118" t="s">
        <v>110</v>
      </c>
      <c r="E369" s="118" t="s">
        <v>69</v>
      </c>
    </row>
    <row r="370" spans="2:5" ht="12" x14ac:dyDescent="0.15">
      <c r="B370" s="130">
        <v>367</v>
      </c>
      <c r="C370" s="118" t="s">
        <v>445</v>
      </c>
      <c r="D370" s="118" t="s">
        <v>110</v>
      </c>
      <c r="E370" s="118" t="s">
        <v>69</v>
      </c>
    </row>
    <row r="371" spans="2:5" ht="12" x14ac:dyDescent="0.15">
      <c r="B371" s="130">
        <v>368</v>
      </c>
      <c r="C371" s="118" t="s">
        <v>446</v>
      </c>
      <c r="D371" s="118" t="s">
        <v>110</v>
      </c>
      <c r="E371" s="118" t="s">
        <v>69</v>
      </c>
    </row>
    <row r="372" spans="2:5" ht="12" x14ac:dyDescent="0.15">
      <c r="B372" s="130">
        <v>369</v>
      </c>
      <c r="C372" s="118" t="s">
        <v>447</v>
      </c>
      <c r="D372" s="118" t="s">
        <v>110</v>
      </c>
      <c r="E372" s="118" t="s">
        <v>69</v>
      </c>
    </row>
    <row r="373" spans="2:5" ht="12" x14ac:dyDescent="0.15">
      <c r="B373" s="130">
        <v>370</v>
      </c>
      <c r="C373" s="118" t="s">
        <v>448</v>
      </c>
      <c r="D373" s="118" t="s">
        <v>110</v>
      </c>
      <c r="E373" s="118" t="s">
        <v>69</v>
      </c>
    </row>
    <row r="374" spans="2:5" ht="12" x14ac:dyDescent="0.15">
      <c r="B374" s="130">
        <v>371</v>
      </c>
      <c r="C374" s="118" t="s">
        <v>449</v>
      </c>
      <c r="D374" s="118" t="s">
        <v>110</v>
      </c>
      <c r="E374" s="118" t="s">
        <v>69</v>
      </c>
    </row>
    <row r="375" spans="2:5" ht="12" x14ac:dyDescent="0.15">
      <c r="B375" s="130">
        <v>372</v>
      </c>
      <c r="C375" s="118" t="s">
        <v>450</v>
      </c>
      <c r="D375" s="118" t="s">
        <v>179</v>
      </c>
      <c r="E375" s="118" t="s">
        <v>69</v>
      </c>
    </row>
    <row r="376" spans="2:5" ht="12" x14ac:dyDescent="0.15">
      <c r="B376" s="130">
        <v>373</v>
      </c>
      <c r="C376" s="118" t="s">
        <v>451</v>
      </c>
      <c r="D376" s="118" t="s">
        <v>110</v>
      </c>
      <c r="E376" s="118" t="s">
        <v>69</v>
      </c>
    </row>
    <row r="377" spans="2:5" ht="12" x14ac:dyDescent="0.15">
      <c r="B377" s="130">
        <v>374</v>
      </c>
      <c r="C377" s="118" t="s">
        <v>452</v>
      </c>
      <c r="D377" s="118" t="s">
        <v>110</v>
      </c>
      <c r="E377" s="118" t="s">
        <v>69</v>
      </c>
    </row>
    <row r="378" spans="2:5" ht="12" x14ac:dyDescent="0.15">
      <c r="B378" s="130">
        <v>375</v>
      </c>
      <c r="C378" s="118" t="s">
        <v>453</v>
      </c>
      <c r="D378" s="118" t="s">
        <v>110</v>
      </c>
      <c r="E378" s="118" t="s">
        <v>69</v>
      </c>
    </row>
    <row r="379" spans="2:5" ht="12" x14ac:dyDescent="0.15">
      <c r="B379" s="130">
        <v>376</v>
      </c>
      <c r="C379" s="118" t="s">
        <v>454</v>
      </c>
      <c r="D379" s="118" t="s">
        <v>110</v>
      </c>
      <c r="E379" s="118" t="s">
        <v>69</v>
      </c>
    </row>
    <row r="380" spans="2:5" ht="12" x14ac:dyDescent="0.15">
      <c r="B380" s="130">
        <v>377</v>
      </c>
      <c r="C380" s="118" t="s">
        <v>455</v>
      </c>
      <c r="D380" s="118" t="s">
        <v>110</v>
      </c>
      <c r="E380" s="118" t="s">
        <v>69</v>
      </c>
    </row>
    <row r="381" spans="2:5" ht="12" x14ac:dyDescent="0.15">
      <c r="B381" s="130">
        <v>378</v>
      </c>
      <c r="C381" s="118" t="s">
        <v>456</v>
      </c>
      <c r="D381" s="118" t="s">
        <v>110</v>
      </c>
      <c r="E381" s="118" t="s">
        <v>69</v>
      </c>
    </row>
    <row r="382" spans="2:5" ht="12" x14ac:dyDescent="0.15">
      <c r="B382" s="130">
        <v>379</v>
      </c>
      <c r="C382" s="118" t="s">
        <v>457</v>
      </c>
      <c r="D382" s="118" t="s">
        <v>110</v>
      </c>
      <c r="E382" s="118" t="s">
        <v>69</v>
      </c>
    </row>
    <row r="383" spans="2:5" ht="12" x14ac:dyDescent="0.15">
      <c r="B383" s="130">
        <v>380</v>
      </c>
      <c r="C383" s="118" t="s">
        <v>458</v>
      </c>
      <c r="D383" s="118" t="s">
        <v>110</v>
      </c>
      <c r="E383" s="118" t="s">
        <v>69</v>
      </c>
    </row>
    <row r="384" spans="2:5" ht="12" x14ac:dyDescent="0.15">
      <c r="B384" s="130">
        <v>381</v>
      </c>
      <c r="C384" s="118" t="s">
        <v>459</v>
      </c>
      <c r="D384" s="118" t="s">
        <v>110</v>
      </c>
      <c r="E384" s="118" t="s">
        <v>69</v>
      </c>
    </row>
    <row r="385" spans="2:5" ht="12" x14ac:dyDescent="0.15">
      <c r="B385" s="130">
        <v>382</v>
      </c>
      <c r="C385" s="118" t="s">
        <v>460</v>
      </c>
      <c r="D385" s="118" t="s">
        <v>110</v>
      </c>
      <c r="E385" s="118" t="s">
        <v>69</v>
      </c>
    </row>
    <row r="386" spans="2:5" ht="12" x14ac:dyDescent="0.15">
      <c r="B386" s="130">
        <v>383</v>
      </c>
      <c r="C386" s="118" t="s">
        <v>461</v>
      </c>
      <c r="D386" s="118" t="s">
        <v>110</v>
      </c>
      <c r="E386" s="118" t="s">
        <v>69</v>
      </c>
    </row>
    <row r="387" spans="2:5" ht="12" x14ac:dyDescent="0.15">
      <c r="B387" s="130">
        <v>384</v>
      </c>
      <c r="C387" s="118" t="s">
        <v>462</v>
      </c>
      <c r="D387" s="118" t="s">
        <v>110</v>
      </c>
      <c r="E387" s="118" t="s">
        <v>69</v>
      </c>
    </row>
    <row r="388" spans="2:5" ht="12" x14ac:dyDescent="0.15">
      <c r="B388" s="130">
        <v>385</v>
      </c>
      <c r="C388" s="118" t="s">
        <v>463</v>
      </c>
      <c r="D388" s="118" t="s">
        <v>110</v>
      </c>
      <c r="E388" s="118" t="s">
        <v>69</v>
      </c>
    </row>
    <row r="389" spans="2:5" ht="12" x14ac:dyDescent="0.15">
      <c r="B389" s="130">
        <v>386</v>
      </c>
      <c r="C389" s="118" t="s">
        <v>464</v>
      </c>
      <c r="D389" s="118" t="s">
        <v>110</v>
      </c>
      <c r="E389" s="118" t="s">
        <v>69</v>
      </c>
    </row>
    <row r="390" spans="2:5" ht="12" x14ac:dyDescent="0.15">
      <c r="B390" s="130">
        <v>387</v>
      </c>
      <c r="C390" s="118" t="s">
        <v>465</v>
      </c>
      <c r="D390" s="118" t="s">
        <v>110</v>
      </c>
      <c r="E390" s="118" t="s">
        <v>69</v>
      </c>
    </row>
    <row r="391" spans="2:5" ht="12" x14ac:dyDescent="0.15">
      <c r="B391" s="130">
        <v>388</v>
      </c>
      <c r="C391" s="118" t="s">
        <v>466</v>
      </c>
      <c r="D391" s="118" t="s">
        <v>110</v>
      </c>
      <c r="E391" s="118" t="s">
        <v>69</v>
      </c>
    </row>
    <row r="392" spans="2:5" ht="12" x14ac:dyDescent="0.15">
      <c r="B392" s="130">
        <v>389</v>
      </c>
      <c r="C392" s="118" t="s">
        <v>467</v>
      </c>
      <c r="D392" s="118" t="s">
        <v>76</v>
      </c>
      <c r="E392" s="118" t="s">
        <v>69</v>
      </c>
    </row>
    <row r="393" spans="2:5" ht="12" x14ac:dyDescent="0.15">
      <c r="B393" s="130">
        <v>390</v>
      </c>
      <c r="C393" s="118" t="s">
        <v>468</v>
      </c>
      <c r="D393" s="118" t="s">
        <v>110</v>
      </c>
      <c r="E393" s="118" t="s">
        <v>69</v>
      </c>
    </row>
    <row r="394" spans="2:5" ht="12" x14ac:dyDescent="0.15">
      <c r="B394" s="130">
        <v>391</v>
      </c>
      <c r="C394" s="118" t="s">
        <v>469</v>
      </c>
      <c r="D394" s="118" t="s">
        <v>110</v>
      </c>
      <c r="E394" s="118" t="s">
        <v>69</v>
      </c>
    </row>
    <row r="395" spans="2:5" ht="12" x14ac:dyDescent="0.15">
      <c r="B395" s="130">
        <v>392</v>
      </c>
      <c r="C395" s="118" t="s">
        <v>470</v>
      </c>
      <c r="D395" s="118" t="s">
        <v>110</v>
      </c>
      <c r="E395" s="118" t="s">
        <v>69</v>
      </c>
    </row>
    <row r="396" spans="2:5" ht="12" x14ac:dyDescent="0.15">
      <c r="B396" s="130">
        <v>393</v>
      </c>
      <c r="C396" s="118" t="s">
        <v>471</v>
      </c>
      <c r="D396" s="118" t="s">
        <v>110</v>
      </c>
      <c r="E396" s="118" t="s">
        <v>69</v>
      </c>
    </row>
    <row r="397" spans="2:5" ht="12" x14ac:dyDescent="0.15">
      <c r="B397" s="130">
        <v>394</v>
      </c>
      <c r="C397" s="118" t="s">
        <v>472</v>
      </c>
      <c r="D397" s="118" t="s">
        <v>110</v>
      </c>
      <c r="E397" s="118" t="s">
        <v>69</v>
      </c>
    </row>
    <row r="398" spans="2:5" ht="12" x14ac:dyDescent="0.15">
      <c r="B398" s="130">
        <v>395</v>
      </c>
      <c r="C398" s="118" t="s">
        <v>473</v>
      </c>
      <c r="D398" s="118" t="s">
        <v>110</v>
      </c>
      <c r="E398" s="118" t="s">
        <v>69</v>
      </c>
    </row>
    <row r="399" spans="2:5" ht="12" x14ac:dyDescent="0.15">
      <c r="B399" s="130">
        <v>396</v>
      </c>
      <c r="C399" s="118" t="s">
        <v>474</v>
      </c>
      <c r="D399" s="118" t="s">
        <v>110</v>
      </c>
      <c r="E399" s="118" t="s">
        <v>69</v>
      </c>
    </row>
    <row r="400" spans="2:5" ht="12" x14ac:dyDescent="0.15">
      <c r="B400" s="130">
        <v>397</v>
      </c>
      <c r="C400" s="118" t="s">
        <v>475</v>
      </c>
      <c r="D400" s="118" t="s">
        <v>110</v>
      </c>
      <c r="E400" s="118" t="s">
        <v>69</v>
      </c>
    </row>
    <row r="401" spans="2:5" ht="12" x14ac:dyDescent="0.15">
      <c r="B401" s="130">
        <v>398</v>
      </c>
      <c r="C401" s="118" t="s">
        <v>476</v>
      </c>
      <c r="D401" s="118" t="s">
        <v>110</v>
      </c>
      <c r="E401" s="118" t="s">
        <v>69</v>
      </c>
    </row>
    <row r="402" spans="2:5" ht="12" x14ac:dyDescent="0.15">
      <c r="B402" s="130">
        <v>399</v>
      </c>
      <c r="C402" s="118" t="s">
        <v>477</v>
      </c>
      <c r="D402" s="118" t="s">
        <v>76</v>
      </c>
      <c r="E402" s="118" t="s">
        <v>69</v>
      </c>
    </row>
    <row r="403" spans="2:5" ht="12" x14ac:dyDescent="0.15">
      <c r="B403" s="130">
        <v>400</v>
      </c>
      <c r="C403" s="118" t="s">
        <v>478</v>
      </c>
      <c r="D403" s="118" t="s">
        <v>110</v>
      </c>
      <c r="E403" s="118" t="s">
        <v>69</v>
      </c>
    </row>
    <row r="404" spans="2:5" ht="12" x14ac:dyDescent="0.15">
      <c r="B404" s="130">
        <v>401</v>
      </c>
      <c r="C404" s="118" t="s">
        <v>479</v>
      </c>
      <c r="D404" s="118" t="s">
        <v>76</v>
      </c>
      <c r="E404" s="118" t="s">
        <v>69</v>
      </c>
    </row>
    <row r="405" spans="2:5" ht="12" x14ac:dyDescent="0.15">
      <c r="B405" s="130">
        <v>402</v>
      </c>
      <c r="C405" s="118" t="s">
        <v>480</v>
      </c>
      <c r="D405" s="118" t="s">
        <v>76</v>
      </c>
      <c r="E405" s="118" t="s">
        <v>69</v>
      </c>
    </row>
    <row r="406" spans="2:5" ht="12" x14ac:dyDescent="0.15">
      <c r="B406" s="130">
        <v>403</v>
      </c>
      <c r="C406" s="118" t="s">
        <v>481</v>
      </c>
      <c r="D406" s="118" t="s">
        <v>110</v>
      </c>
      <c r="E406" s="118" t="s">
        <v>69</v>
      </c>
    </row>
    <row r="407" spans="2:5" ht="12" x14ac:dyDescent="0.15">
      <c r="B407" s="130">
        <v>404</v>
      </c>
      <c r="C407" s="118" t="s">
        <v>482</v>
      </c>
      <c r="D407" s="118" t="s">
        <v>110</v>
      </c>
      <c r="E407" s="118" t="s">
        <v>69</v>
      </c>
    </row>
    <row r="408" spans="2:5" ht="12" x14ac:dyDescent="0.15">
      <c r="B408" s="130">
        <v>405</v>
      </c>
      <c r="C408" s="118" t="s">
        <v>483</v>
      </c>
      <c r="D408" s="118" t="s">
        <v>110</v>
      </c>
      <c r="E408" s="118" t="s">
        <v>69</v>
      </c>
    </row>
    <row r="409" spans="2:5" ht="12" x14ac:dyDescent="0.15">
      <c r="B409" s="130">
        <v>406</v>
      </c>
      <c r="C409" s="118" t="s">
        <v>484</v>
      </c>
      <c r="D409" s="118" t="s">
        <v>110</v>
      </c>
      <c r="E409" s="118" t="s">
        <v>69</v>
      </c>
    </row>
    <row r="410" spans="2:5" ht="12" x14ac:dyDescent="0.15">
      <c r="B410" s="130">
        <v>407</v>
      </c>
      <c r="C410" s="118" t="s">
        <v>485</v>
      </c>
      <c r="D410" s="118" t="s">
        <v>110</v>
      </c>
      <c r="E410" s="118" t="s">
        <v>69</v>
      </c>
    </row>
    <row r="411" spans="2:5" ht="12" x14ac:dyDescent="0.15">
      <c r="B411" s="130">
        <v>408</v>
      </c>
      <c r="C411" s="118" t="s">
        <v>486</v>
      </c>
      <c r="D411" s="118" t="s">
        <v>110</v>
      </c>
      <c r="E411" s="118" t="s">
        <v>69</v>
      </c>
    </row>
    <row r="412" spans="2:5" ht="12" x14ac:dyDescent="0.15">
      <c r="B412" s="130">
        <v>409</v>
      </c>
      <c r="C412" s="118" t="s">
        <v>487</v>
      </c>
      <c r="D412" s="118" t="s">
        <v>110</v>
      </c>
      <c r="E412" s="118" t="s">
        <v>69</v>
      </c>
    </row>
    <row r="413" spans="2:5" ht="12" x14ac:dyDescent="0.15">
      <c r="B413" s="130">
        <v>410</v>
      </c>
      <c r="C413" s="118" t="s">
        <v>488</v>
      </c>
      <c r="D413" s="118" t="s">
        <v>110</v>
      </c>
      <c r="E413" s="118" t="s">
        <v>69</v>
      </c>
    </row>
    <row r="414" spans="2:5" ht="12" x14ac:dyDescent="0.15">
      <c r="B414" s="130">
        <v>411</v>
      </c>
      <c r="C414" s="118" t="s">
        <v>489</v>
      </c>
      <c r="D414" s="118" t="s">
        <v>110</v>
      </c>
      <c r="E414" s="118" t="s">
        <v>69</v>
      </c>
    </row>
    <row r="415" spans="2:5" ht="12" x14ac:dyDescent="0.15">
      <c r="B415" s="130">
        <v>412</v>
      </c>
      <c r="C415" s="118" t="s">
        <v>490</v>
      </c>
      <c r="D415" s="118" t="s">
        <v>110</v>
      </c>
      <c r="E415" s="118" t="s">
        <v>69</v>
      </c>
    </row>
    <row r="416" spans="2:5" ht="12" x14ac:dyDescent="0.15">
      <c r="B416" s="130">
        <v>413</v>
      </c>
      <c r="C416" s="118" t="s">
        <v>491</v>
      </c>
      <c r="D416" s="118" t="s">
        <v>110</v>
      </c>
      <c r="E416" s="118" t="s">
        <v>69</v>
      </c>
    </row>
    <row r="417" spans="2:5" ht="12" x14ac:dyDescent="0.15">
      <c r="B417" s="130">
        <v>414</v>
      </c>
      <c r="C417" s="118" t="s">
        <v>492</v>
      </c>
      <c r="D417" s="118" t="s">
        <v>110</v>
      </c>
      <c r="E417" s="118" t="s">
        <v>69</v>
      </c>
    </row>
    <row r="418" spans="2:5" ht="12" x14ac:dyDescent="0.15">
      <c r="B418" s="130">
        <v>415</v>
      </c>
      <c r="C418" s="118" t="s">
        <v>493</v>
      </c>
      <c r="D418" s="118" t="s">
        <v>110</v>
      </c>
      <c r="E418" s="118" t="s">
        <v>69</v>
      </c>
    </row>
    <row r="419" spans="2:5" ht="12" x14ac:dyDescent="0.15">
      <c r="B419" s="130">
        <v>416</v>
      </c>
      <c r="C419" s="118" t="s">
        <v>494</v>
      </c>
      <c r="D419" s="118" t="s">
        <v>110</v>
      </c>
      <c r="E419" s="118" t="s">
        <v>69</v>
      </c>
    </row>
    <row r="420" spans="2:5" ht="12" x14ac:dyDescent="0.15">
      <c r="B420" s="130">
        <v>417</v>
      </c>
      <c r="C420" s="118" t="s">
        <v>495</v>
      </c>
      <c r="D420" s="118" t="s">
        <v>110</v>
      </c>
      <c r="E420" s="118" t="s">
        <v>69</v>
      </c>
    </row>
    <row r="421" spans="2:5" ht="12" x14ac:dyDescent="0.15">
      <c r="B421" s="130">
        <v>418</v>
      </c>
      <c r="C421" s="118" t="s">
        <v>496</v>
      </c>
      <c r="D421" s="118" t="s">
        <v>110</v>
      </c>
      <c r="E421" s="118" t="s">
        <v>69</v>
      </c>
    </row>
    <row r="422" spans="2:5" ht="12" x14ac:dyDescent="0.15">
      <c r="B422" s="130">
        <v>419</v>
      </c>
      <c r="C422" s="118" t="s">
        <v>497</v>
      </c>
      <c r="D422" s="118" t="s">
        <v>110</v>
      </c>
      <c r="E422" s="118" t="s">
        <v>69</v>
      </c>
    </row>
    <row r="423" spans="2:5" ht="12" x14ac:dyDescent="0.15">
      <c r="B423" s="130">
        <v>420</v>
      </c>
      <c r="C423" s="118" t="s">
        <v>498</v>
      </c>
      <c r="D423" s="118" t="s">
        <v>110</v>
      </c>
      <c r="E423" s="118" t="s">
        <v>69</v>
      </c>
    </row>
    <row r="424" spans="2:5" ht="12" x14ac:dyDescent="0.15">
      <c r="B424" s="130">
        <v>421</v>
      </c>
      <c r="C424" s="118" t="s">
        <v>499</v>
      </c>
      <c r="D424" s="118" t="s">
        <v>110</v>
      </c>
      <c r="E424" s="118" t="s">
        <v>69</v>
      </c>
    </row>
    <row r="425" spans="2:5" ht="12" x14ac:dyDescent="0.15">
      <c r="B425" s="130">
        <v>422</v>
      </c>
      <c r="C425" s="118" t="s">
        <v>500</v>
      </c>
      <c r="D425" s="118" t="s">
        <v>110</v>
      </c>
      <c r="E425" s="118" t="s">
        <v>69</v>
      </c>
    </row>
    <row r="426" spans="2:5" ht="12" x14ac:dyDescent="0.15">
      <c r="B426" s="130">
        <v>423</v>
      </c>
      <c r="C426" s="118" t="s">
        <v>501</v>
      </c>
      <c r="D426" s="118" t="s">
        <v>110</v>
      </c>
      <c r="E426" s="118" t="s">
        <v>69</v>
      </c>
    </row>
    <row r="427" spans="2:5" ht="12" x14ac:dyDescent="0.15">
      <c r="B427" s="130">
        <v>424</v>
      </c>
      <c r="C427" s="118" t="s">
        <v>502</v>
      </c>
      <c r="D427" s="118" t="s">
        <v>110</v>
      </c>
      <c r="E427" s="118" t="s">
        <v>69</v>
      </c>
    </row>
    <row r="428" spans="2:5" ht="12" x14ac:dyDescent="0.15">
      <c r="B428" s="130">
        <v>425</v>
      </c>
      <c r="C428" s="118" t="s">
        <v>503</v>
      </c>
      <c r="D428" s="118" t="s">
        <v>110</v>
      </c>
      <c r="E428" s="118" t="s">
        <v>69</v>
      </c>
    </row>
    <row r="429" spans="2:5" ht="12" x14ac:dyDescent="0.15">
      <c r="B429" s="130">
        <v>426</v>
      </c>
      <c r="C429" s="118" t="s">
        <v>504</v>
      </c>
      <c r="D429" s="118" t="s">
        <v>110</v>
      </c>
      <c r="E429" s="118" t="s">
        <v>69</v>
      </c>
    </row>
    <row r="430" spans="2:5" ht="12" x14ac:dyDescent="0.15">
      <c r="B430" s="130">
        <v>427</v>
      </c>
      <c r="C430" s="118" t="s">
        <v>505</v>
      </c>
      <c r="D430" s="118" t="s">
        <v>110</v>
      </c>
      <c r="E430" s="118" t="s">
        <v>69</v>
      </c>
    </row>
    <row r="431" spans="2:5" ht="12" x14ac:dyDescent="0.15">
      <c r="B431" s="130">
        <v>428</v>
      </c>
      <c r="C431" s="118" t="s">
        <v>506</v>
      </c>
      <c r="D431" s="118" t="s">
        <v>110</v>
      </c>
      <c r="E431" s="118" t="s">
        <v>69</v>
      </c>
    </row>
    <row r="432" spans="2:5" ht="12" x14ac:dyDescent="0.15">
      <c r="B432" s="130">
        <v>429</v>
      </c>
      <c r="C432" s="118" t="s">
        <v>507</v>
      </c>
      <c r="D432" s="118" t="s">
        <v>110</v>
      </c>
      <c r="E432" s="118" t="s">
        <v>69</v>
      </c>
    </row>
    <row r="433" spans="2:5" ht="12" x14ac:dyDescent="0.15">
      <c r="B433" s="130">
        <v>430</v>
      </c>
      <c r="C433" s="118" t="s">
        <v>508</v>
      </c>
      <c r="D433" s="118" t="s">
        <v>110</v>
      </c>
      <c r="E433" s="118" t="s">
        <v>69</v>
      </c>
    </row>
    <row r="434" spans="2:5" ht="12" x14ac:dyDescent="0.15">
      <c r="B434" s="130">
        <v>431</v>
      </c>
      <c r="C434" s="118" t="s">
        <v>509</v>
      </c>
      <c r="D434" s="118" t="s">
        <v>110</v>
      </c>
      <c r="E434" s="118" t="s">
        <v>69</v>
      </c>
    </row>
    <row r="435" spans="2:5" ht="12" x14ac:dyDescent="0.15">
      <c r="B435" s="130">
        <v>432</v>
      </c>
      <c r="C435" s="118" t="s">
        <v>510</v>
      </c>
      <c r="D435" s="118" t="s">
        <v>110</v>
      </c>
      <c r="E435" s="118" t="s">
        <v>69</v>
      </c>
    </row>
    <row r="436" spans="2:5" ht="12" x14ac:dyDescent="0.15">
      <c r="B436" s="130">
        <v>433</v>
      </c>
      <c r="C436" s="118" t="s">
        <v>511</v>
      </c>
      <c r="D436" s="118" t="s">
        <v>110</v>
      </c>
      <c r="E436" s="118" t="s">
        <v>69</v>
      </c>
    </row>
    <row r="437" spans="2:5" ht="12" x14ac:dyDescent="0.15">
      <c r="B437" s="130">
        <v>434</v>
      </c>
      <c r="C437" s="118" t="s">
        <v>512</v>
      </c>
      <c r="D437" s="118" t="s">
        <v>110</v>
      </c>
      <c r="E437" s="118" t="s">
        <v>69</v>
      </c>
    </row>
    <row r="438" spans="2:5" ht="12" x14ac:dyDescent="0.15">
      <c r="B438" s="130">
        <v>435</v>
      </c>
      <c r="C438" s="118" t="s">
        <v>513</v>
      </c>
      <c r="D438" s="118" t="s">
        <v>110</v>
      </c>
      <c r="E438" s="118" t="s">
        <v>69</v>
      </c>
    </row>
    <row r="439" spans="2:5" ht="12" x14ac:dyDescent="0.15">
      <c r="B439" s="130">
        <v>436</v>
      </c>
      <c r="C439" s="118" t="s">
        <v>514</v>
      </c>
      <c r="D439" s="118" t="s">
        <v>110</v>
      </c>
      <c r="E439" s="118" t="s">
        <v>69</v>
      </c>
    </row>
    <row r="440" spans="2:5" ht="12" x14ac:dyDescent="0.15">
      <c r="B440" s="130">
        <v>437</v>
      </c>
      <c r="C440" s="118" t="s">
        <v>515</v>
      </c>
      <c r="D440" s="118" t="s">
        <v>110</v>
      </c>
      <c r="E440" s="118" t="s">
        <v>69</v>
      </c>
    </row>
    <row r="441" spans="2:5" ht="12" x14ac:dyDescent="0.15">
      <c r="B441" s="130">
        <v>438</v>
      </c>
      <c r="C441" s="118" t="s">
        <v>516</v>
      </c>
      <c r="D441" s="118" t="s">
        <v>110</v>
      </c>
      <c r="E441" s="118" t="s">
        <v>69</v>
      </c>
    </row>
    <row r="442" spans="2:5" ht="12" x14ac:dyDescent="0.15">
      <c r="B442" s="130">
        <v>439</v>
      </c>
      <c r="C442" s="118" t="s">
        <v>517</v>
      </c>
      <c r="D442" s="118" t="s">
        <v>110</v>
      </c>
      <c r="E442" s="118" t="s">
        <v>69</v>
      </c>
    </row>
    <row r="443" spans="2:5" ht="12" x14ac:dyDescent="0.15">
      <c r="B443" s="130">
        <v>440</v>
      </c>
      <c r="C443" s="118" t="s">
        <v>518</v>
      </c>
      <c r="D443" s="118" t="s">
        <v>110</v>
      </c>
      <c r="E443" s="118" t="s">
        <v>69</v>
      </c>
    </row>
    <row r="444" spans="2:5" ht="12" x14ac:dyDescent="0.15">
      <c r="B444" s="130">
        <v>441</v>
      </c>
      <c r="C444" s="118" t="s">
        <v>519</v>
      </c>
      <c r="D444" s="118" t="s">
        <v>110</v>
      </c>
      <c r="E444" s="118" t="s">
        <v>69</v>
      </c>
    </row>
    <row r="445" spans="2:5" ht="12" x14ac:dyDescent="0.15">
      <c r="B445" s="130">
        <v>442</v>
      </c>
      <c r="C445" s="118" t="s">
        <v>520</v>
      </c>
      <c r="D445" s="118" t="s">
        <v>110</v>
      </c>
      <c r="E445" s="118" t="s">
        <v>69</v>
      </c>
    </row>
    <row r="446" spans="2:5" ht="12" x14ac:dyDescent="0.15">
      <c r="B446" s="130">
        <v>443</v>
      </c>
      <c r="C446" s="118" t="s">
        <v>521</v>
      </c>
      <c r="D446" s="118" t="s">
        <v>110</v>
      </c>
      <c r="E446" s="118" t="s">
        <v>69</v>
      </c>
    </row>
    <row r="447" spans="2:5" ht="12" x14ac:dyDescent="0.15">
      <c r="B447" s="130">
        <v>444</v>
      </c>
      <c r="C447" s="118" t="s">
        <v>522</v>
      </c>
      <c r="D447" s="118" t="s">
        <v>110</v>
      </c>
      <c r="E447" s="118" t="s">
        <v>69</v>
      </c>
    </row>
    <row r="448" spans="2:5" ht="12" x14ac:dyDescent="0.15">
      <c r="B448" s="130">
        <v>445</v>
      </c>
      <c r="C448" s="118" t="s">
        <v>523</v>
      </c>
      <c r="D448" s="118" t="s">
        <v>110</v>
      </c>
      <c r="E448" s="118" t="s">
        <v>69</v>
      </c>
    </row>
    <row r="449" spans="2:5" ht="12" x14ac:dyDescent="0.15">
      <c r="B449" s="130">
        <v>446</v>
      </c>
      <c r="C449" s="118" t="s">
        <v>524</v>
      </c>
      <c r="D449" s="118" t="s">
        <v>110</v>
      </c>
      <c r="E449" s="118" t="s">
        <v>69</v>
      </c>
    </row>
    <row r="450" spans="2:5" ht="12" x14ac:dyDescent="0.15">
      <c r="B450" s="130">
        <v>447</v>
      </c>
      <c r="C450" s="118" t="s">
        <v>525</v>
      </c>
      <c r="D450" s="118" t="s">
        <v>110</v>
      </c>
      <c r="E450" s="118" t="s">
        <v>69</v>
      </c>
    </row>
    <row r="451" spans="2:5" ht="12" x14ac:dyDescent="0.15">
      <c r="B451" s="130">
        <v>448</v>
      </c>
      <c r="C451" s="118" t="s">
        <v>526</v>
      </c>
      <c r="D451" s="118" t="s">
        <v>110</v>
      </c>
      <c r="E451" s="118" t="s">
        <v>69</v>
      </c>
    </row>
    <row r="452" spans="2:5" ht="12" x14ac:dyDescent="0.15">
      <c r="B452" s="130">
        <v>449</v>
      </c>
      <c r="C452" s="118" t="s">
        <v>527</v>
      </c>
      <c r="D452" s="118" t="s">
        <v>110</v>
      </c>
      <c r="E452" s="118" t="s">
        <v>69</v>
      </c>
    </row>
    <row r="453" spans="2:5" ht="12" x14ac:dyDescent="0.15">
      <c r="B453" s="130">
        <v>450</v>
      </c>
      <c r="C453" s="118" t="s">
        <v>528</v>
      </c>
      <c r="D453" s="118" t="s">
        <v>110</v>
      </c>
      <c r="E453" s="118" t="s">
        <v>69</v>
      </c>
    </row>
    <row r="454" spans="2:5" ht="12" x14ac:dyDescent="0.15">
      <c r="B454" s="130">
        <v>451</v>
      </c>
      <c r="C454" s="118" t="s">
        <v>529</v>
      </c>
      <c r="D454" s="118" t="s">
        <v>110</v>
      </c>
      <c r="E454" s="118" t="s">
        <v>69</v>
      </c>
    </row>
    <row r="455" spans="2:5" ht="12" x14ac:dyDescent="0.15">
      <c r="B455" s="130">
        <v>452</v>
      </c>
      <c r="C455" s="118" t="s">
        <v>530</v>
      </c>
      <c r="D455" s="118" t="s">
        <v>110</v>
      </c>
      <c r="E455" s="118" t="s">
        <v>69</v>
      </c>
    </row>
    <row r="456" spans="2:5" ht="12" x14ac:dyDescent="0.15">
      <c r="B456" s="130">
        <v>453</v>
      </c>
      <c r="C456" s="118" t="s">
        <v>531</v>
      </c>
      <c r="D456" s="118" t="s">
        <v>110</v>
      </c>
      <c r="E456" s="118" t="s">
        <v>69</v>
      </c>
    </row>
    <row r="457" spans="2:5" ht="12" x14ac:dyDescent="0.15">
      <c r="B457" s="130">
        <v>454</v>
      </c>
      <c r="C457" s="118" t="s">
        <v>532</v>
      </c>
      <c r="D457" s="118" t="s">
        <v>110</v>
      </c>
      <c r="E457" s="118" t="s">
        <v>69</v>
      </c>
    </row>
    <row r="458" spans="2:5" ht="12" x14ac:dyDescent="0.15">
      <c r="B458" s="130">
        <v>455</v>
      </c>
      <c r="C458" s="118" t="s">
        <v>533</v>
      </c>
      <c r="D458" s="118" t="s">
        <v>110</v>
      </c>
      <c r="E458" s="118" t="s">
        <v>69</v>
      </c>
    </row>
    <row r="459" spans="2:5" ht="12" x14ac:dyDescent="0.15">
      <c r="B459" s="130">
        <v>456</v>
      </c>
      <c r="C459" s="118" t="s">
        <v>534</v>
      </c>
      <c r="D459" s="118" t="s">
        <v>110</v>
      </c>
      <c r="E459" s="118" t="s">
        <v>69</v>
      </c>
    </row>
    <row r="460" spans="2:5" ht="12" x14ac:dyDescent="0.15">
      <c r="B460" s="130">
        <v>457</v>
      </c>
      <c r="C460" s="118" t="s">
        <v>535</v>
      </c>
      <c r="D460" s="118" t="s">
        <v>110</v>
      </c>
      <c r="E460" s="118" t="s">
        <v>69</v>
      </c>
    </row>
    <row r="461" spans="2:5" ht="12" x14ac:dyDescent="0.15">
      <c r="B461" s="130">
        <v>458</v>
      </c>
      <c r="C461" s="118" t="s">
        <v>536</v>
      </c>
      <c r="D461" s="118" t="s">
        <v>110</v>
      </c>
      <c r="E461" s="118" t="s">
        <v>69</v>
      </c>
    </row>
    <row r="462" spans="2:5" ht="12" x14ac:dyDescent="0.15">
      <c r="B462" s="130">
        <v>459</v>
      </c>
      <c r="C462" s="118" t="s">
        <v>537</v>
      </c>
      <c r="D462" s="118" t="s">
        <v>110</v>
      </c>
      <c r="E462" s="118" t="s">
        <v>69</v>
      </c>
    </row>
    <row r="463" spans="2:5" ht="12" x14ac:dyDescent="0.15">
      <c r="B463" s="130">
        <v>460</v>
      </c>
      <c r="C463" s="118" t="s">
        <v>538</v>
      </c>
      <c r="D463" s="118" t="s">
        <v>110</v>
      </c>
      <c r="E463" s="118" t="s">
        <v>69</v>
      </c>
    </row>
    <row r="464" spans="2:5" ht="12" x14ac:dyDescent="0.15">
      <c r="B464" s="130">
        <v>461</v>
      </c>
      <c r="C464" s="118" t="s">
        <v>539</v>
      </c>
      <c r="D464" s="118" t="s">
        <v>110</v>
      </c>
      <c r="E464" s="118" t="s">
        <v>69</v>
      </c>
    </row>
    <row r="465" spans="2:5" ht="12" x14ac:dyDescent="0.15">
      <c r="B465" s="130">
        <v>462</v>
      </c>
      <c r="C465" s="118" t="s">
        <v>540</v>
      </c>
      <c r="D465" s="118" t="s">
        <v>110</v>
      </c>
      <c r="E465" s="118" t="s">
        <v>69</v>
      </c>
    </row>
    <row r="466" spans="2:5" ht="12" x14ac:dyDescent="0.15">
      <c r="B466" s="130">
        <v>463</v>
      </c>
      <c r="C466" s="118" t="s">
        <v>541</v>
      </c>
      <c r="D466" s="118" t="s">
        <v>110</v>
      </c>
      <c r="E466" s="118" t="s">
        <v>69</v>
      </c>
    </row>
    <row r="467" spans="2:5" ht="12" x14ac:dyDescent="0.15">
      <c r="B467" s="130">
        <v>464</v>
      </c>
      <c r="C467" s="118" t="s">
        <v>542</v>
      </c>
      <c r="D467" s="118" t="s">
        <v>110</v>
      </c>
      <c r="E467" s="118" t="s">
        <v>69</v>
      </c>
    </row>
    <row r="468" spans="2:5" ht="12" x14ac:dyDescent="0.15">
      <c r="B468" s="130">
        <v>465</v>
      </c>
      <c r="C468" s="118" t="s">
        <v>543</v>
      </c>
      <c r="D468" s="118" t="s">
        <v>110</v>
      </c>
      <c r="E468" s="118" t="s">
        <v>69</v>
      </c>
    </row>
    <row r="469" spans="2:5" ht="12" x14ac:dyDescent="0.15">
      <c r="B469" s="130">
        <v>466</v>
      </c>
      <c r="C469" s="118" t="s">
        <v>544</v>
      </c>
      <c r="D469" s="118" t="s">
        <v>110</v>
      </c>
      <c r="E469" s="118" t="s">
        <v>69</v>
      </c>
    </row>
    <row r="470" spans="2:5" ht="12" x14ac:dyDescent="0.15">
      <c r="B470" s="130">
        <v>467</v>
      </c>
      <c r="C470" s="118" t="s">
        <v>545</v>
      </c>
      <c r="D470" s="118" t="s">
        <v>110</v>
      </c>
      <c r="E470" s="118" t="s">
        <v>69</v>
      </c>
    </row>
    <row r="471" spans="2:5" ht="12" x14ac:dyDescent="0.15">
      <c r="B471" s="130">
        <v>468</v>
      </c>
      <c r="C471" s="118" t="s">
        <v>546</v>
      </c>
      <c r="D471" s="118" t="s">
        <v>110</v>
      </c>
      <c r="E471" s="118" t="s">
        <v>69</v>
      </c>
    </row>
    <row r="472" spans="2:5" ht="12" x14ac:dyDescent="0.15">
      <c r="B472" s="130">
        <v>469</v>
      </c>
      <c r="C472" s="118" t="s">
        <v>547</v>
      </c>
      <c r="D472" s="118" t="s">
        <v>76</v>
      </c>
      <c r="E472" s="118" t="s">
        <v>69</v>
      </c>
    </row>
    <row r="473" spans="2:5" ht="12" x14ac:dyDescent="0.15">
      <c r="B473" s="130">
        <v>470</v>
      </c>
      <c r="C473" s="118" t="s">
        <v>548</v>
      </c>
      <c r="D473" s="118" t="s">
        <v>110</v>
      </c>
      <c r="E473" s="118" t="s">
        <v>69</v>
      </c>
    </row>
    <row r="474" spans="2:5" ht="12" x14ac:dyDescent="0.15">
      <c r="B474" s="130">
        <v>471</v>
      </c>
      <c r="C474" s="118" t="s">
        <v>549</v>
      </c>
      <c r="D474" s="118" t="s">
        <v>110</v>
      </c>
      <c r="E474" s="118" t="s">
        <v>69</v>
      </c>
    </row>
    <row r="475" spans="2:5" ht="12" x14ac:dyDescent="0.15">
      <c r="B475" s="130">
        <v>472</v>
      </c>
      <c r="C475" s="118" t="s">
        <v>550</v>
      </c>
      <c r="D475" s="118" t="s">
        <v>110</v>
      </c>
      <c r="E475" s="118" t="s">
        <v>69</v>
      </c>
    </row>
    <row r="476" spans="2:5" ht="12" x14ac:dyDescent="0.15">
      <c r="B476" s="130">
        <v>473</v>
      </c>
      <c r="C476" s="118" t="s">
        <v>551</v>
      </c>
      <c r="D476" s="118" t="s">
        <v>110</v>
      </c>
      <c r="E476" s="118" t="s">
        <v>69</v>
      </c>
    </row>
    <row r="477" spans="2:5" ht="12" x14ac:dyDescent="0.15">
      <c r="B477" s="130">
        <v>474</v>
      </c>
      <c r="C477" s="118" t="s">
        <v>552</v>
      </c>
      <c r="D477" s="118" t="s">
        <v>110</v>
      </c>
      <c r="E477" s="118" t="s">
        <v>69</v>
      </c>
    </row>
    <row r="478" spans="2:5" ht="12" x14ac:dyDescent="0.15">
      <c r="B478" s="130">
        <v>475</v>
      </c>
      <c r="C478" s="118" t="s">
        <v>553</v>
      </c>
      <c r="D478" s="118" t="s">
        <v>110</v>
      </c>
      <c r="E478" s="118" t="s">
        <v>69</v>
      </c>
    </row>
    <row r="479" spans="2:5" ht="12" x14ac:dyDescent="0.15">
      <c r="B479" s="130">
        <v>476</v>
      </c>
      <c r="C479" s="118" t="s">
        <v>554</v>
      </c>
      <c r="D479" s="118" t="s">
        <v>110</v>
      </c>
      <c r="E479" s="118" t="s">
        <v>69</v>
      </c>
    </row>
    <row r="480" spans="2:5" ht="12" x14ac:dyDescent="0.15">
      <c r="B480" s="130">
        <v>477</v>
      </c>
      <c r="C480" s="118" t="s">
        <v>555</v>
      </c>
      <c r="D480" s="118" t="s">
        <v>76</v>
      </c>
      <c r="E480" s="118" t="s">
        <v>69</v>
      </c>
    </row>
    <row r="481" spans="2:5" ht="12" x14ac:dyDescent="0.15">
      <c r="B481" s="130">
        <v>478</v>
      </c>
      <c r="C481" s="118" t="s">
        <v>556</v>
      </c>
      <c r="D481" s="118" t="s">
        <v>110</v>
      </c>
      <c r="E481" s="118" t="s">
        <v>69</v>
      </c>
    </row>
    <row r="482" spans="2:5" ht="12" x14ac:dyDescent="0.15">
      <c r="B482" s="130">
        <v>479</v>
      </c>
      <c r="C482" s="118" t="s">
        <v>557</v>
      </c>
      <c r="D482" s="118" t="s">
        <v>110</v>
      </c>
      <c r="E482" s="118" t="s">
        <v>69</v>
      </c>
    </row>
    <row r="483" spans="2:5" ht="12" x14ac:dyDescent="0.15">
      <c r="B483" s="130">
        <v>480</v>
      </c>
      <c r="C483" s="118" t="s">
        <v>558</v>
      </c>
      <c r="D483" s="118" t="s">
        <v>110</v>
      </c>
      <c r="E483" s="118" t="s">
        <v>69</v>
      </c>
    </row>
    <row r="484" spans="2:5" ht="12" x14ac:dyDescent="0.15">
      <c r="B484" s="130">
        <v>481</v>
      </c>
      <c r="C484" s="118" t="s">
        <v>559</v>
      </c>
      <c r="D484" s="118" t="s">
        <v>110</v>
      </c>
      <c r="E484" s="118" t="s">
        <v>69</v>
      </c>
    </row>
    <row r="485" spans="2:5" ht="12" x14ac:dyDescent="0.15">
      <c r="B485" s="130">
        <v>482</v>
      </c>
      <c r="C485" s="118" t="s">
        <v>560</v>
      </c>
      <c r="D485" s="118" t="s">
        <v>110</v>
      </c>
      <c r="E485" s="118" t="s">
        <v>69</v>
      </c>
    </row>
    <row r="486" spans="2:5" ht="12" x14ac:dyDescent="0.15">
      <c r="B486" s="130">
        <v>483</v>
      </c>
      <c r="C486" s="118" t="s">
        <v>561</v>
      </c>
      <c r="D486" s="118" t="s">
        <v>110</v>
      </c>
      <c r="E486" s="118" t="s">
        <v>69</v>
      </c>
    </row>
    <row r="487" spans="2:5" ht="12" x14ac:dyDescent="0.15">
      <c r="B487" s="130">
        <v>484</v>
      </c>
      <c r="C487" s="118" t="s">
        <v>562</v>
      </c>
      <c r="D487" s="118" t="s">
        <v>110</v>
      </c>
      <c r="E487" s="118" t="s">
        <v>69</v>
      </c>
    </row>
    <row r="488" spans="2:5" ht="12" x14ac:dyDescent="0.15">
      <c r="B488" s="130">
        <v>485</v>
      </c>
      <c r="C488" s="118" t="s">
        <v>563</v>
      </c>
      <c r="D488" s="118" t="s">
        <v>110</v>
      </c>
      <c r="E488" s="118" t="s">
        <v>69</v>
      </c>
    </row>
    <row r="489" spans="2:5" ht="12" x14ac:dyDescent="0.15">
      <c r="B489" s="130">
        <v>486</v>
      </c>
      <c r="C489" s="118" t="s">
        <v>564</v>
      </c>
      <c r="D489" s="118" t="s">
        <v>110</v>
      </c>
      <c r="E489" s="118" t="s">
        <v>69</v>
      </c>
    </row>
    <row r="490" spans="2:5" ht="12" x14ac:dyDescent="0.15">
      <c r="B490" s="130">
        <v>487</v>
      </c>
      <c r="C490" s="118" t="s">
        <v>565</v>
      </c>
      <c r="D490" s="118" t="s">
        <v>110</v>
      </c>
      <c r="E490" s="118" t="s">
        <v>69</v>
      </c>
    </row>
    <row r="491" spans="2:5" ht="12" x14ac:dyDescent="0.15">
      <c r="B491" s="130">
        <v>488</v>
      </c>
      <c r="C491" s="118" t="s">
        <v>566</v>
      </c>
      <c r="D491" s="118" t="s">
        <v>110</v>
      </c>
      <c r="E491" s="118" t="s">
        <v>69</v>
      </c>
    </row>
    <row r="492" spans="2:5" ht="12" x14ac:dyDescent="0.15">
      <c r="B492" s="130">
        <v>489</v>
      </c>
      <c r="C492" s="118" t="s">
        <v>567</v>
      </c>
      <c r="D492" s="118" t="s">
        <v>110</v>
      </c>
      <c r="E492" s="118" t="s">
        <v>69</v>
      </c>
    </row>
    <row r="493" spans="2:5" ht="12" x14ac:dyDescent="0.15">
      <c r="B493" s="130">
        <v>490</v>
      </c>
      <c r="C493" s="118" t="s">
        <v>568</v>
      </c>
      <c r="D493" s="118" t="s">
        <v>110</v>
      </c>
      <c r="E493" s="118" t="s">
        <v>69</v>
      </c>
    </row>
    <row r="494" spans="2:5" ht="12" x14ac:dyDescent="0.15">
      <c r="B494" s="130">
        <v>491</v>
      </c>
      <c r="C494" s="118" t="s">
        <v>569</v>
      </c>
      <c r="D494" s="118" t="s">
        <v>110</v>
      </c>
      <c r="E494" s="118" t="s">
        <v>69</v>
      </c>
    </row>
    <row r="495" spans="2:5" ht="12" x14ac:dyDescent="0.15">
      <c r="B495" s="130">
        <v>492</v>
      </c>
      <c r="C495" s="118" t="s">
        <v>570</v>
      </c>
      <c r="D495" s="118" t="s">
        <v>110</v>
      </c>
      <c r="E495" s="118" t="s">
        <v>69</v>
      </c>
    </row>
    <row r="496" spans="2:5" ht="12" x14ac:dyDescent="0.15">
      <c r="B496" s="130">
        <v>493</v>
      </c>
      <c r="C496" s="118" t="s">
        <v>571</v>
      </c>
      <c r="D496" s="118" t="s">
        <v>110</v>
      </c>
      <c r="E496" s="118" t="s">
        <v>69</v>
      </c>
    </row>
    <row r="497" spans="2:5" ht="12" x14ac:dyDescent="0.15">
      <c r="B497" s="130">
        <v>494</v>
      </c>
      <c r="C497" s="118" t="s">
        <v>572</v>
      </c>
      <c r="D497" s="118" t="s">
        <v>110</v>
      </c>
      <c r="E497" s="118" t="s">
        <v>69</v>
      </c>
    </row>
    <row r="498" spans="2:5" ht="12" x14ac:dyDescent="0.15">
      <c r="B498" s="130">
        <v>495</v>
      </c>
      <c r="C498" s="118" t="s">
        <v>573</v>
      </c>
      <c r="D498" s="118" t="s">
        <v>110</v>
      </c>
      <c r="E498" s="118" t="s">
        <v>69</v>
      </c>
    </row>
    <row r="499" spans="2:5" ht="12" x14ac:dyDescent="0.15">
      <c r="B499" s="130">
        <v>496</v>
      </c>
      <c r="C499" s="118" t="s">
        <v>574</v>
      </c>
      <c r="D499" s="118" t="s">
        <v>110</v>
      </c>
      <c r="E499" s="118" t="s">
        <v>69</v>
      </c>
    </row>
    <row r="500" spans="2:5" ht="12" x14ac:dyDescent="0.15">
      <c r="B500" s="130">
        <v>497</v>
      </c>
      <c r="C500" s="118" t="s">
        <v>575</v>
      </c>
      <c r="D500" s="118" t="s">
        <v>110</v>
      </c>
      <c r="E500" s="118" t="s">
        <v>69</v>
      </c>
    </row>
    <row r="501" spans="2:5" ht="12" x14ac:dyDescent="0.15">
      <c r="B501" s="130">
        <v>498</v>
      </c>
      <c r="C501" s="118" t="s">
        <v>576</v>
      </c>
      <c r="D501" s="118" t="s">
        <v>78</v>
      </c>
      <c r="E501" s="118" t="s">
        <v>69</v>
      </c>
    </row>
    <row r="502" spans="2:5" ht="12" x14ac:dyDescent="0.15">
      <c r="B502" s="130">
        <v>499</v>
      </c>
      <c r="C502" s="118" t="s">
        <v>577</v>
      </c>
      <c r="D502" s="118" t="s">
        <v>110</v>
      </c>
      <c r="E502" s="118" t="s">
        <v>69</v>
      </c>
    </row>
    <row r="503" spans="2:5" ht="12" x14ac:dyDescent="0.15">
      <c r="B503" s="130">
        <v>500</v>
      </c>
      <c r="C503" s="118" t="s">
        <v>578</v>
      </c>
      <c r="D503" s="118" t="s">
        <v>110</v>
      </c>
      <c r="E503" s="118" t="s">
        <v>69</v>
      </c>
    </row>
    <row r="504" spans="2:5" ht="12" x14ac:dyDescent="0.15">
      <c r="B504" s="130">
        <v>501</v>
      </c>
      <c r="C504" s="118" t="s">
        <v>579</v>
      </c>
      <c r="D504" s="118" t="s">
        <v>110</v>
      </c>
      <c r="E504" s="118" t="s">
        <v>69</v>
      </c>
    </row>
    <row r="505" spans="2:5" ht="12" x14ac:dyDescent="0.15">
      <c r="B505" s="130">
        <v>502</v>
      </c>
      <c r="C505" s="118" t="s">
        <v>580</v>
      </c>
      <c r="D505" s="118" t="s">
        <v>110</v>
      </c>
      <c r="E505" s="118" t="s">
        <v>69</v>
      </c>
    </row>
    <row r="506" spans="2:5" ht="12" x14ac:dyDescent="0.15">
      <c r="B506" s="130">
        <v>503</v>
      </c>
      <c r="C506" s="118" t="s">
        <v>581</v>
      </c>
      <c r="D506" s="118" t="s">
        <v>110</v>
      </c>
      <c r="E506" s="118" t="s">
        <v>69</v>
      </c>
    </row>
    <row r="507" spans="2:5" ht="12" x14ac:dyDescent="0.15">
      <c r="B507" s="130">
        <v>504</v>
      </c>
      <c r="C507" s="118" t="s">
        <v>582</v>
      </c>
      <c r="D507" s="118" t="s">
        <v>110</v>
      </c>
      <c r="E507" s="118" t="s">
        <v>69</v>
      </c>
    </row>
    <row r="508" spans="2:5" ht="12" x14ac:dyDescent="0.15">
      <c r="B508" s="130">
        <v>505</v>
      </c>
      <c r="C508" s="118" t="s">
        <v>583</v>
      </c>
      <c r="D508" s="118" t="s">
        <v>110</v>
      </c>
      <c r="E508" s="118" t="s">
        <v>69</v>
      </c>
    </row>
    <row r="509" spans="2:5" ht="12" x14ac:dyDescent="0.15">
      <c r="B509" s="130">
        <v>506</v>
      </c>
      <c r="C509" s="118" t="s">
        <v>584</v>
      </c>
      <c r="D509" s="118" t="s">
        <v>110</v>
      </c>
      <c r="E509" s="118" t="s">
        <v>69</v>
      </c>
    </row>
    <row r="510" spans="2:5" ht="12" x14ac:dyDescent="0.15">
      <c r="B510" s="130">
        <v>507</v>
      </c>
      <c r="C510" s="118" t="s">
        <v>585</v>
      </c>
      <c r="D510" s="118" t="s">
        <v>110</v>
      </c>
      <c r="E510" s="118" t="s">
        <v>69</v>
      </c>
    </row>
    <row r="511" spans="2:5" ht="12" x14ac:dyDescent="0.15">
      <c r="B511" s="130">
        <v>508</v>
      </c>
      <c r="C511" s="118" t="s">
        <v>586</v>
      </c>
      <c r="D511" s="118" t="s">
        <v>110</v>
      </c>
      <c r="E511" s="118" t="s">
        <v>69</v>
      </c>
    </row>
    <row r="512" spans="2:5" ht="12" x14ac:dyDescent="0.15">
      <c r="B512" s="130">
        <v>509</v>
      </c>
      <c r="C512" s="118" t="s">
        <v>587</v>
      </c>
      <c r="D512" s="118" t="s">
        <v>110</v>
      </c>
      <c r="E512" s="118" t="s">
        <v>69</v>
      </c>
    </row>
    <row r="513" spans="2:5" ht="12" x14ac:dyDescent="0.15">
      <c r="B513" s="130">
        <v>510</v>
      </c>
      <c r="C513" s="118" t="s">
        <v>588</v>
      </c>
      <c r="D513" s="118" t="s">
        <v>110</v>
      </c>
      <c r="E513" s="118" t="s">
        <v>69</v>
      </c>
    </row>
    <row r="514" spans="2:5" ht="12" x14ac:dyDescent="0.15">
      <c r="B514" s="130">
        <v>511</v>
      </c>
      <c r="C514" s="118" t="s">
        <v>589</v>
      </c>
      <c r="D514" s="118" t="s">
        <v>110</v>
      </c>
      <c r="E514" s="118" t="s">
        <v>69</v>
      </c>
    </row>
    <row r="515" spans="2:5" ht="12" x14ac:dyDescent="0.15">
      <c r="B515" s="130">
        <v>512</v>
      </c>
      <c r="C515" s="118" t="s">
        <v>590</v>
      </c>
      <c r="D515" s="118" t="s">
        <v>110</v>
      </c>
      <c r="E515" s="118" t="s">
        <v>69</v>
      </c>
    </row>
    <row r="516" spans="2:5" ht="12" x14ac:dyDescent="0.15">
      <c r="B516" s="130">
        <v>513</v>
      </c>
      <c r="C516" s="118" t="s">
        <v>591</v>
      </c>
      <c r="D516" s="118" t="s">
        <v>110</v>
      </c>
      <c r="E516" s="118" t="s">
        <v>69</v>
      </c>
    </row>
    <row r="517" spans="2:5" ht="12" x14ac:dyDescent="0.15">
      <c r="B517" s="130">
        <v>514</v>
      </c>
      <c r="C517" s="118" t="s">
        <v>592</v>
      </c>
      <c r="D517" s="118" t="s">
        <v>124</v>
      </c>
      <c r="E517" s="118" t="s">
        <v>69</v>
      </c>
    </row>
    <row r="518" spans="2:5" ht="12" x14ac:dyDescent="0.15">
      <c r="B518" s="130">
        <v>515</v>
      </c>
      <c r="C518" s="118" t="s">
        <v>593</v>
      </c>
      <c r="D518" s="118" t="s">
        <v>110</v>
      </c>
      <c r="E518" s="118" t="s">
        <v>69</v>
      </c>
    </row>
    <row r="519" spans="2:5" ht="12" x14ac:dyDescent="0.15">
      <c r="B519" s="130">
        <v>516</v>
      </c>
      <c r="C519" s="118" t="s">
        <v>594</v>
      </c>
      <c r="D519" s="118" t="s">
        <v>76</v>
      </c>
      <c r="E519" s="118" t="s">
        <v>69</v>
      </c>
    </row>
    <row r="520" spans="2:5" ht="12" x14ac:dyDescent="0.15">
      <c r="B520" s="130">
        <v>517</v>
      </c>
      <c r="C520" s="118" t="s">
        <v>595</v>
      </c>
      <c r="D520" s="118" t="s">
        <v>110</v>
      </c>
      <c r="E520" s="118" t="s">
        <v>69</v>
      </c>
    </row>
    <row r="521" spans="2:5" ht="12" x14ac:dyDescent="0.15">
      <c r="B521" s="130">
        <v>518</v>
      </c>
      <c r="C521" s="118" t="s">
        <v>596</v>
      </c>
      <c r="D521" s="118" t="s">
        <v>110</v>
      </c>
      <c r="E521" s="118" t="s">
        <v>69</v>
      </c>
    </row>
    <row r="522" spans="2:5" ht="12" x14ac:dyDescent="0.15">
      <c r="B522" s="130">
        <v>519</v>
      </c>
      <c r="C522" s="118" t="s">
        <v>597</v>
      </c>
      <c r="D522" s="118" t="s">
        <v>110</v>
      </c>
      <c r="E522" s="118" t="s">
        <v>69</v>
      </c>
    </row>
    <row r="523" spans="2:5" ht="12" x14ac:dyDescent="0.15">
      <c r="B523" s="130">
        <v>520</v>
      </c>
      <c r="C523" s="118" t="s">
        <v>598</v>
      </c>
      <c r="D523" s="118" t="s">
        <v>179</v>
      </c>
      <c r="E523" s="118" t="s">
        <v>69</v>
      </c>
    </row>
    <row r="524" spans="2:5" ht="12" x14ac:dyDescent="0.15">
      <c r="B524" s="130">
        <v>521</v>
      </c>
      <c r="C524" s="118" t="s">
        <v>599</v>
      </c>
      <c r="D524" s="118" t="s">
        <v>110</v>
      </c>
      <c r="E524" s="118" t="s">
        <v>69</v>
      </c>
    </row>
    <row r="525" spans="2:5" ht="12" x14ac:dyDescent="0.15">
      <c r="B525" s="130">
        <v>522</v>
      </c>
      <c r="C525" s="118" t="s">
        <v>600</v>
      </c>
      <c r="D525" s="118" t="s">
        <v>110</v>
      </c>
      <c r="E525" s="118" t="s">
        <v>69</v>
      </c>
    </row>
    <row r="526" spans="2:5" ht="12" x14ac:dyDescent="0.15">
      <c r="B526" s="130">
        <v>523</v>
      </c>
      <c r="C526" s="118" t="s">
        <v>601</v>
      </c>
      <c r="D526" s="118" t="s">
        <v>110</v>
      </c>
      <c r="E526" s="118" t="s">
        <v>69</v>
      </c>
    </row>
    <row r="527" spans="2:5" ht="12" x14ac:dyDescent="0.15">
      <c r="B527" s="130">
        <v>524</v>
      </c>
      <c r="C527" s="118" t="s">
        <v>602</v>
      </c>
      <c r="D527" s="118" t="s">
        <v>110</v>
      </c>
      <c r="E527" s="118" t="s">
        <v>69</v>
      </c>
    </row>
    <row r="528" spans="2:5" ht="12" x14ac:dyDescent="0.15">
      <c r="B528" s="130">
        <v>525</v>
      </c>
      <c r="C528" s="118" t="s">
        <v>603</v>
      </c>
      <c r="D528" s="118" t="s">
        <v>110</v>
      </c>
      <c r="E528" s="118" t="s">
        <v>69</v>
      </c>
    </row>
    <row r="529" spans="2:5" ht="12" x14ac:dyDescent="0.15">
      <c r="B529" s="130">
        <v>526</v>
      </c>
      <c r="C529" s="118" t="s">
        <v>604</v>
      </c>
      <c r="D529" s="118" t="s">
        <v>110</v>
      </c>
      <c r="E529" s="118" t="s">
        <v>69</v>
      </c>
    </row>
    <row r="530" spans="2:5" ht="12" x14ac:dyDescent="0.15">
      <c r="B530" s="130">
        <v>527</v>
      </c>
      <c r="C530" s="118" t="s">
        <v>605</v>
      </c>
      <c r="D530" s="118" t="s">
        <v>110</v>
      </c>
      <c r="E530" s="118" t="s">
        <v>69</v>
      </c>
    </row>
    <row r="531" spans="2:5" ht="12" x14ac:dyDescent="0.15">
      <c r="B531" s="130">
        <v>528</v>
      </c>
      <c r="C531" s="118" t="s">
        <v>606</v>
      </c>
      <c r="D531" s="118" t="s">
        <v>110</v>
      </c>
      <c r="E531" s="118" t="s">
        <v>69</v>
      </c>
    </row>
    <row r="532" spans="2:5" ht="12" x14ac:dyDescent="0.15">
      <c r="B532" s="130">
        <v>529</v>
      </c>
      <c r="C532" s="118" t="s">
        <v>607</v>
      </c>
      <c r="D532" s="118" t="s">
        <v>110</v>
      </c>
      <c r="E532" s="118" t="s">
        <v>69</v>
      </c>
    </row>
    <row r="533" spans="2:5" ht="12" x14ac:dyDescent="0.15">
      <c r="B533" s="130">
        <v>530</v>
      </c>
      <c r="C533" s="118" t="s">
        <v>608</v>
      </c>
      <c r="D533" s="118" t="s">
        <v>110</v>
      </c>
      <c r="E533" s="118" t="s">
        <v>69</v>
      </c>
    </row>
    <row r="534" spans="2:5" ht="12" x14ac:dyDescent="0.15">
      <c r="B534" s="130">
        <v>531</v>
      </c>
      <c r="C534" s="118" t="s">
        <v>609</v>
      </c>
      <c r="D534" s="118" t="s">
        <v>110</v>
      </c>
      <c r="E534" s="118" t="s">
        <v>69</v>
      </c>
    </row>
    <row r="535" spans="2:5" ht="12" x14ac:dyDescent="0.15">
      <c r="B535" s="130">
        <v>532</v>
      </c>
      <c r="C535" s="118" t="s">
        <v>610</v>
      </c>
      <c r="D535" s="118" t="s">
        <v>611</v>
      </c>
      <c r="E535" s="118" t="s">
        <v>612</v>
      </c>
    </row>
    <row r="536" spans="2:5" ht="12" x14ac:dyDescent="0.15">
      <c r="B536" s="130">
        <v>533</v>
      </c>
      <c r="C536" s="118" t="s">
        <v>613</v>
      </c>
      <c r="D536" s="118" t="s">
        <v>611</v>
      </c>
      <c r="E536" s="118" t="s">
        <v>612</v>
      </c>
    </row>
    <row r="537" spans="2:5" ht="12" x14ac:dyDescent="0.15">
      <c r="B537" s="130">
        <v>534</v>
      </c>
      <c r="C537" s="118" t="s">
        <v>614</v>
      </c>
      <c r="D537" s="118" t="s">
        <v>611</v>
      </c>
      <c r="E537" s="118" t="s">
        <v>612</v>
      </c>
    </row>
    <row r="538" spans="2:5" ht="12" x14ac:dyDescent="0.15">
      <c r="B538" s="130">
        <v>535</v>
      </c>
      <c r="C538" s="118" t="s">
        <v>615</v>
      </c>
      <c r="D538" s="118" t="s">
        <v>611</v>
      </c>
      <c r="E538" s="118" t="s">
        <v>612</v>
      </c>
    </row>
    <row r="539" spans="2:5" ht="12" x14ac:dyDescent="0.15">
      <c r="B539" s="130">
        <v>536</v>
      </c>
      <c r="C539" s="118" t="s">
        <v>616</v>
      </c>
      <c r="D539" s="118" t="s">
        <v>611</v>
      </c>
      <c r="E539" s="118" t="s">
        <v>612</v>
      </c>
    </row>
    <row r="540" spans="2:5" ht="12" x14ac:dyDescent="0.15">
      <c r="B540" s="130">
        <v>537</v>
      </c>
      <c r="C540" s="118" t="s">
        <v>617</v>
      </c>
      <c r="D540" s="118" t="s">
        <v>611</v>
      </c>
      <c r="E540" s="118" t="s">
        <v>612</v>
      </c>
    </row>
    <row r="541" spans="2:5" ht="12" x14ac:dyDescent="0.15">
      <c r="B541" s="130">
        <v>538</v>
      </c>
      <c r="C541" s="118" t="s">
        <v>618</v>
      </c>
      <c r="D541" s="118" t="s">
        <v>611</v>
      </c>
      <c r="E541" s="118" t="s">
        <v>612</v>
      </c>
    </row>
    <row r="542" spans="2:5" ht="12" x14ac:dyDescent="0.15">
      <c r="B542" s="130">
        <v>539</v>
      </c>
      <c r="C542" s="118" t="s">
        <v>619</v>
      </c>
      <c r="D542" s="118" t="s">
        <v>611</v>
      </c>
      <c r="E542" s="118" t="s">
        <v>612</v>
      </c>
    </row>
    <row r="543" spans="2:5" ht="12" x14ac:dyDescent="0.15">
      <c r="B543" s="130">
        <v>540</v>
      </c>
      <c r="C543" s="118" t="s">
        <v>620</v>
      </c>
      <c r="D543" s="118" t="s">
        <v>611</v>
      </c>
      <c r="E543" s="118" t="s">
        <v>612</v>
      </c>
    </row>
    <row r="544" spans="2:5" ht="12" x14ac:dyDescent="0.15">
      <c r="B544" s="130">
        <v>541</v>
      </c>
      <c r="C544" s="118" t="s">
        <v>621</v>
      </c>
      <c r="D544" s="118" t="s">
        <v>611</v>
      </c>
      <c r="E544" s="118" t="s">
        <v>612</v>
      </c>
    </row>
    <row r="545" spans="2:5" ht="12" x14ac:dyDescent="0.15">
      <c r="B545" s="130">
        <v>542</v>
      </c>
      <c r="C545" s="118" t="s">
        <v>622</v>
      </c>
      <c r="D545" s="118" t="s">
        <v>611</v>
      </c>
      <c r="E545" s="118" t="s">
        <v>612</v>
      </c>
    </row>
    <row r="546" spans="2:5" ht="12" x14ac:dyDescent="0.15">
      <c r="B546" s="130">
        <v>543</v>
      </c>
      <c r="C546" s="118" t="s">
        <v>623</v>
      </c>
      <c r="D546" s="118" t="s">
        <v>611</v>
      </c>
      <c r="E546" s="118" t="s">
        <v>612</v>
      </c>
    </row>
    <row r="547" spans="2:5" ht="12" x14ac:dyDescent="0.15">
      <c r="B547" s="130">
        <v>544</v>
      </c>
      <c r="C547" s="118" t="s">
        <v>624</v>
      </c>
      <c r="D547" s="118" t="s">
        <v>611</v>
      </c>
      <c r="E547" s="118" t="s">
        <v>612</v>
      </c>
    </row>
    <row r="548" spans="2:5" ht="12" x14ac:dyDescent="0.15">
      <c r="B548" s="130">
        <v>545</v>
      </c>
      <c r="C548" s="118" t="s">
        <v>625</v>
      </c>
      <c r="D548" s="118" t="s">
        <v>611</v>
      </c>
      <c r="E548" s="118" t="s">
        <v>612</v>
      </c>
    </row>
    <row r="549" spans="2:5" ht="12" x14ac:dyDescent="0.15">
      <c r="B549" s="130">
        <v>546</v>
      </c>
      <c r="C549" s="118" t="s">
        <v>626</v>
      </c>
      <c r="D549" s="118" t="s">
        <v>611</v>
      </c>
      <c r="E549" s="118" t="s">
        <v>612</v>
      </c>
    </row>
    <row r="550" spans="2:5" ht="12" x14ac:dyDescent="0.15">
      <c r="B550" s="130">
        <v>547</v>
      </c>
      <c r="C550" s="118" t="s">
        <v>627</v>
      </c>
      <c r="D550" s="118" t="s">
        <v>611</v>
      </c>
      <c r="E550" s="118" t="s">
        <v>612</v>
      </c>
    </row>
    <row r="551" spans="2:5" ht="12" x14ac:dyDescent="0.15">
      <c r="B551" s="130">
        <v>548</v>
      </c>
      <c r="C551" s="118" t="s">
        <v>628</v>
      </c>
      <c r="D551" s="118" t="s">
        <v>611</v>
      </c>
      <c r="E551" s="118" t="s">
        <v>612</v>
      </c>
    </row>
    <row r="552" spans="2:5" ht="12" x14ac:dyDescent="0.15">
      <c r="B552" s="130">
        <v>549</v>
      </c>
      <c r="C552" s="118" t="s">
        <v>629</v>
      </c>
      <c r="D552" s="118" t="s">
        <v>611</v>
      </c>
      <c r="E552" s="118" t="s">
        <v>612</v>
      </c>
    </row>
    <row r="553" spans="2:5" ht="12" x14ac:dyDescent="0.15">
      <c r="B553" s="130">
        <v>550</v>
      </c>
      <c r="C553" s="118" t="s">
        <v>630</v>
      </c>
      <c r="D553" s="118" t="s">
        <v>611</v>
      </c>
      <c r="E553" s="118" t="s">
        <v>612</v>
      </c>
    </row>
    <row r="554" spans="2:5" ht="12" x14ac:dyDescent="0.15">
      <c r="B554" s="130">
        <v>551</v>
      </c>
      <c r="C554" s="118" t="s">
        <v>631</v>
      </c>
      <c r="D554" s="118" t="s">
        <v>611</v>
      </c>
      <c r="E554" s="118" t="s">
        <v>612</v>
      </c>
    </row>
    <row r="555" spans="2:5" ht="12" x14ac:dyDescent="0.15">
      <c r="B555" s="130">
        <v>552</v>
      </c>
      <c r="C555" s="118" t="s">
        <v>632</v>
      </c>
      <c r="D555" s="118" t="s">
        <v>611</v>
      </c>
      <c r="E555" s="118" t="s">
        <v>612</v>
      </c>
    </row>
    <row r="556" spans="2:5" ht="12" x14ac:dyDescent="0.15">
      <c r="B556" s="130">
        <v>553</v>
      </c>
      <c r="C556" s="118" t="s">
        <v>633</v>
      </c>
      <c r="D556" s="118" t="s">
        <v>611</v>
      </c>
      <c r="E556" s="118" t="s">
        <v>612</v>
      </c>
    </row>
    <row r="557" spans="2:5" ht="12" x14ac:dyDescent="0.15">
      <c r="B557" s="130">
        <v>554</v>
      </c>
      <c r="C557" s="118" t="s">
        <v>634</v>
      </c>
      <c r="D557" s="118" t="s">
        <v>611</v>
      </c>
      <c r="E557" s="118" t="s">
        <v>612</v>
      </c>
    </row>
    <row r="558" spans="2:5" ht="12" x14ac:dyDescent="0.15">
      <c r="B558" s="130">
        <v>555</v>
      </c>
      <c r="C558" s="118" t="s">
        <v>635</v>
      </c>
      <c r="D558" s="118" t="s">
        <v>611</v>
      </c>
      <c r="E558" s="118" t="s">
        <v>612</v>
      </c>
    </row>
    <row r="559" spans="2:5" ht="12" x14ac:dyDescent="0.15">
      <c r="B559" s="130">
        <v>556</v>
      </c>
      <c r="C559" s="118" t="s">
        <v>636</v>
      </c>
      <c r="D559" s="118" t="s">
        <v>611</v>
      </c>
      <c r="E559" s="118" t="s">
        <v>612</v>
      </c>
    </row>
    <row r="560" spans="2:5" ht="12" x14ac:dyDescent="0.15">
      <c r="B560" s="130">
        <v>557</v>
      </c>
      <c r="C560" s="118" t="s">
        <v>637</v>
      </c>
      <c r="D560" s="118" t="s">
        <v>611</v>
      </c>
      <c r="E560" s="118" t="s">
        <v>612</v>
      </c>
    </row>
    <row r="561" spans="2:5" ht="12" x14ac:dyDescent="0.15">
      <c r="B561" s="130">
        <v>558</v>
      </c>
      <c r="C561" s="118" t="s">
        <v>638</v>
      </c>
      <c r="D561" s="118" t="s">
        <v>611</v>
      </c>
      <c r="E561" s="118" t="s">
        <v>612</v>
      </c>
    </row>
    <row r="562" spans="2:5" ht="12" x14ac:dyDescent="0.15">
      <c r="B562" s="130">
        <v>559</v>
      </c>
      <c r="C562" s="118" t="s">
        <v>639</v>
      </c>
      <c r="D562" s="118" t="s">
        <v>640</v>
      </c>
      <c r="E562" s="118" t="s">
        <v>641</v>
      </c>
    </row>
    <row r="563" spans="2:5" ht="12" x14ac:dyDescent="0.15">
      <c r="B563" s="130">
        <v>560</v>
      </c>
      <c r="C563" s="118" t="s">
        <v>642</v>
      </c>
      <c r="D563" s="118" t="s">
        <v>640</v>
      </c>
      <c r="E563" s="118" t="s">
        <v>641</v>
      </c>
    </row>
    <row r="564" spans="2:5" ht="12" x14ac:dyDescent="0.15">
      <c r="B564" s="130">
        <v>561</v>
      </c>
      <c r="C564" s="118" t="s">
        <v>643</v>
      </c>
      <c r="D564" s="118" t="s">
        <v>644</v>
      </c>
      <c r="E564" s="118" t="s">
        <v>641</v>
      </c>
    </row>
    <row r="565" spans="2:5" ht="12" x14ac:dyDescent="0.15">
      <c r="B565" s="130">
        <v>562</v>
      </c>
      <c r="C565" s="118" t="s">
        <v>645</v>
      </c>
      <c r="D565" s="118" t="s">
        <v>644</v>
      </c>
      <c r="E565" s="118" t="s">
        <v>641</v>
      </c>
    </row>
    <row r="566" spans="2:5" ht="12" x14ac:dyDescent="0.15">
      <c r="B566" s="130">
        <v>563</v>
      </c>
      <c r="C566" s="118" t="s">
        <v>646</v>
      </c>
      <c r="D566" s="118" t="s">
        <v>644</v>
      </c>
      <c r="E566" s="118" t="s">
        <v>641</v>
      </c>
    </row>
    <row r="567" spans="2:5" ht="12" x14ac:dyDescent="0.15">
      <c r="B567" s="130">
        <v>564</v>
      </c>
      <c r="C567" s="118" t="s">
        <v>647</v>
      </c>
      <c r="D567" s="118" t="s">
        <v>644</v>
      </c>
      <c r="E567" s="118" t="s">
        <v>641</v>
      </c>
    </row>
    <row r="568" spans="2:5" ht="12" x14ac:dyDescent="0.15">
      <c r="B568" s="130">
        <v>565</v>
      </c>
      <c r="C568" s="118" t="s">
        <v>648</v>
      </c>
      <c r="D568" s="118" t="s">
        <v>644</v>
      </c>
      <c r="E568" s="118" t="s">
        <v>641</v>
      </c>
    </row>
    <row r="569" spans="2:5" ht="12" x14ac:dyDescent="0.15">
      <c r="B569" s="130">
        <v>566</v>
      </c>
      <c r="C569" s="118" t="s">
        <v>649</v>
      </c>
      <c r="D569" s="118" t="s">
        <v>644</v>
      </c>
      <c r="E569" s="118" t="s">
        <v>641</v>
      </c>
    </row>
    <row r="570" spans="2:5" ht="12" x14ac:dyDescent="0.15">
      <c r="B570" s="130">
        <v>567</v>
      </c>
      <c r="C570" s="118" t="s">
        <v>650</v>
      </c>
      <c r="D570" s="118" t="s">
        <v>644</v>
      </c>
      <c r="E570" s="118" t="s">
        <v>641</v>
      </c>
    </row>
    <row r="571" spans="2:5" ht="12" x14ac:dyDescent="0.15">
      <c r="B571" s="130">
        <v>568</v>
      </c>
      <c r="C571" s="118" t="s">
        <v>651</v>
      </c>
      <c r="D571" s="118" t="s">
        <v>644</v>
      </c>
      <c r="E571" s="118" t="s">
        <v>641</v>
      </c>
    </row>
    <row r="572" spans="2:5" ht="12" x14ac:dyDescent="0.15">
      <c r="B572" s="130">
        <v>569</v>
      </c>
      <c r="C572" s="118" t="s">
        <v>652</v>
      </c>
      <c r="D572" s="118" t="s">
        <v>644</v>
      </c>
      <c r="E572" s="118" t="s">
        <v>641</v>
      </c>
    </row>
    <row r="573" spans="2:5" ht="12" x14ac:dyDescent="0.15">
      <c r="B573" s="130">
        <v>570</v>
      </c>
      <c r="C573" s="118" t="s">
        <v>653</v>
      </c>
      <c r="D573" s="118" t="s">
        <v>644</v>
      </c>
      <c r="E573" s="118" t="s">
        <v>641</v>
      </c>
    </row>
    <row r="574" spans="2:5" ht="12" x14ac:dyDescent="0.15">
      <c r="B574" s="130">
        <v>571</v>
      </c>
      <c r="C574" s="118" t="s">
        <v>654</v>
      </c>
      <c r="D574" s="118" t="s">
        <v>644</v>
      </c>
      <c r="E574" s="118" t="s">
        <v>641</v>
      </c>
    </row>
    <row r="575" spans="2:5" ht="12" x14ac:dyDescent="0.15">
      <c r="B575" s="130">
        <v>572</v>
      </c>
      <c r="C575" s="118" t="s">
        <v>655</v>
      </c>
      <c r="D575" s="118" t="s">
        <v>644</v>
      </c>
      <c r="E575" s="118" t="s">
        <v>641</v>
      </c>
    </row>
    <row r="576" spans="2:5" ht="12" x14ac:dyDescent="0.15">
      <c r="B576" s="130">
        <v>573</v>
      </c>
      <c r="C576" s="118" t="s">
        <v>656</v>
      </c>
      <c r="D576" s="118" t="s">
        <v>644</v>
      </c>
      <c r="E576" s="118" t="s">
        <v>641</v>
      </c>
    </row>
    <row r="577" spans="2:5" ht="12" x14ac:dyDescent="0.15">
      <c r="B577" s="130">
        <v>574</v>
      </c>
      <c r="C577" s="118" t="s">
        <v>657</v>
      </c>
      <c r="D577" s="118" t="s">
        <v>644</v>
      </c>
      <c r="E577" s="118" t="s">
        <v>641</v>
      </c>
    </row>
    <row r="578" spans="2:5" ht="12" x14ac:dyDescent="0.15">
      <c r="B578" s="130">
        <v>575</v>
      </c>
      <c r="C578" s="118" t="s">
        <v>658</v>
      </c>
      <c r="D578" s="118" t="s">
        <v>644</v>
      </c>
      <c r="E578" s="118" t="s">
        <v>641</v>
      </c>
    </row>
    <row r="579" spans="2:5" ht="12" x14ac:dyDescent="0.15">
      <c r="B579" s="130">
        <v>576</v>
      </c>
      <c r="C579" s="118" t="s">
        <v>659</v>
      </c>
      <c r="D579" s="118" t="s">
        <v>644</v>
      </c>
      <c r="E579" s="118" t="s">
        <v>641</v>
      </c>
    </row>
    <row r="580" spans="2:5" ht="12" x14ac:dyDescent="0.15">
      <c r="B580" s="130">
        <v>577</v>
      </c>
      <c r="C580" s="118" t="s">
        <v>660</v>
      </c>
      <c r="D580" s="118" t="s">
        <v>644</v>
      </c>
      <c r="E580" s="118" t="s">
        <v>641</v>
      </c>
    </row>
    <row r="581" spans="2:5" ht="12" x14ac:dyDescent="0.15">
      <c r="B581" s="130">
        <v>578</v>
      </c>
      <c r="C581" s="118" t="s">
        <v>661</v>
      </c>
      <c r="D581" s="118" t="s">
        <v>644</v>
      </c>
      <c r="E581" s="118" t="s">
        <v>641</v>
      </c>
    </row>
    <row r="582" spans="2:5" ht="12" x14ac:dyDescent="0.15">
      <c r="B582" s="130">
        <v>579</v>
      </c>
      <c r="C582" s="118" t="s">
        <v>662</v>
      </c>
      <c r="D582" s="118" t="s">
        <v>644</v>
      </c>
      <c r="E582" s="118" t="s">
        <v>641</v>
      </c>
    </row>
    <row r="583" spans="2:5" ht="12" x14ac:dyDescent="0.15">
      <c r="B583" s="130">
        <v>580</v>
      </c>
      <c r="C583" s="118" t="s">
        <v>663</v>
      </c>
      <c r="D583" s="118" t="s">
        <v>644</v>
      </c>
      <c r="E583" s="118" t="s">
        <v>641</v>
      </c>
    </row>
    <row r="584" spans="2:5" ht="12" x14ac:dyDescent="0.15">
      <c r="B584" s="130">
        <v>581</v>
      </c>
      <c r="C584" s="118" t="s">
        <v>664</v>
      </c>
      <c r="D584" s="118" t="s">
        <v>644</v>
      </c>
      <c r="E584" s="118" t="s">
        <v>641</v>
      </c>
    </row>
    <row r="585" spans="2:5" ht="12" x14ac:dyDescent="0.15">
      <c r="B585" s="130">
        <v>582</v>
      </c>
      <c r="C585" s="118" t="s">
        <v>665</v>
      </c>
      <c r="D585" s="118" t="s">
        <v>644</v>
      </c>
      <c r="E585" s="118" t="s">
        <v>641</v>
      </c>
    </row>
    <row r="586" spans="2:5" ht="12" x14ac:dyDescent="0.15">
      <c r="B586" s="130">
        <v>583</v>
      </c>
      <c r="C586" s="118" t="s">
        <v>666</v>
      </c>
      <c r="D586" s="118" t="s">
        <v>644</v>
      </c>
      <c r="E586" s="118" t="s">
        <v>641</v>
      </c>
    </row>
    <row r="587" spans="2:5" ht="12" x14ac:dyDescent="0.15">
      <c r="B587" s="130">
        <v>584</v>
      </c>
      <c r="C587" s="118" t="s">
        <v>667</v>
      </c>
      <c r="D587" s="118" t="s">
        <v>644</v>
      </c>
      <c r="E587" s="118" t="s">
        <v>641</v>
      </c>
    </row>
    <row r="588" spans="2:5" ht="12" x14ac:dyDescent="0.15">
      <c r="B588" s="130">
        <v>585</v>
      </c>
      <c r="C588" s="118" t="s">
        <v>668</v>
      </c>
      <c r="D588" s="118" t="s">
        <v>644</v>
      </c>
      <c r="E588" s="118" t="s">
        <v>641</v>
      </c>
    </row>
    <row r="589" spans="2:5" ht="12" x14ac:dyDescent="0.15">
      <c r="B589" s="130">
        <v>586</v>
      </c>
      <c r="C589" s="118" t="s">
        <v>669</v>
      </c>
      <c r="D589" s="118" t="s">
        <v>644</v>
      </c>
      <c r="E589" s="118" t="s">
        <v>641</v>
      </c>
    </row>
    <row r="590" spans="2:5" ht="12" x14ac:dyDescent="0.15">
      <c r="B590" s="130">
        <v>587</v>
      </c>
      <c r="C590" s="118" t="s">
        <v>670</v>
      </c>
      <c r="D590" s="118" t="s">
        <v>644</v>
      </c>
      <c r="E590" s="118" t="s">
        <v>641</v>
      </c>
    </row>
    <row r="591" spans="2:5" ht="12" x14ac:dyDescent="0.15">
      <c r="B591" s="130">
        <v>588</v>
      </c>
      <c r="C591" s="118" t="s">
        <v>671</v>
      </c>
      <c r="D591" s="118" t="s">
        <v>644</v>
      </c>
      <c r="E591" s="118" t="s">
        <v>641</v>
      </c>
    </row>
    <row r="592" spans="2:5" ht="12" x14ac:dyDescent="0.15">
      <c r="B592" s="130">
        <v>589</v>
      </c>
      <c r="C592" s="118" t="s">
        <v>672</v>
      </c>
      <c r="D592" s="118" t="s">
        <v>644</v>
      </c>
      <c r="E592" s="118" t="s">
        <v>641</v>
      </c>
    </row>
    <row r="593" spans="2:5" ht="12" x14ac:dyDescent="0.15">
      <c r="B593" s="130">
        <v>590</v>
      </c>
      <c r="C593" s="118" t="s">
        <v>673</v>
      </c>
      <c r="D593" s="118" t="s">
        <v>674</v>
      </c>
      <c r="E593" s="118" t="s">
        <v>675</v>
      </c>
    </row>
    <row r="594" spans="2:5" ht="12" x14ac:dyDescent="0.15">
      <c r="B594" s="130">
        <v>591</v>
      </c>
      <c r="C594" s="118" t="s">
        <v>676</v>
      </c>
      <c r="D594" s="118" t="s">
        <v>677</v>
      </c>
      <c r="E594" s="118" t="s">
        <v>678</v>
      </c>
    </row>
    <row r="595" spans="2:5" ht="12" x14ac:dyDescent="0.15">
      <c r="B595" s="130">
        <v>592</v>
      </c>
      <c r="C595" s="118" t="s">
        <v>679</v>
      </c>
      <c r="D595" s="118" t="s">
        <v>677</v>
      </c>
      <c r="E595" s="118" t="s">
        <v>678</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B9417-E613-469D-80D3-C5A4D8FBEEAB}">
  <dimension ref="B1:M400"/>
  <sheetViews>
    <sheetView showGridLines="0" zoomScale="85" zoomScaleNormal="85" workbookViewId="0">
      <selection activeCell="D24" sqref="D24"/>
    </sheetView>
  </sheetViews>
  <sheetFormatPr defaultColWidth="10.625" defaultRowHeight="11.25" x14ac:dyDescent="0.15"/>
  <cols>
    <col min="1" max="1" width="3.359375" style="63" customWidth="1"/>
    <col min="2" max="2" width="11.97265625" style="107" customWidth="1"/>
    <col min="3" max="3" width="23.26953125" style="63" customWidth="1"/>
    <col min="4" max="4" width="23.40625" style="63" customWidth="1"/>
    <col min="5" max="5" width="23" style="63" customWidth="1"/>
    <col min="6" max="6" width="29.99609375" style="63" customWidth="1"/>
    <col min="7" max="7" width="24.48046875" style="63" customWidth="1"/>
    <col min="8" max="8" width="23.40625" style="63" customWidth="1"/>
    <col min="9" max="9" width="21.38671875" style="63" customWidth="1"/>
    <col min="10" max="10" width="29.32421875" style="80" customWidth="1"/>
    <col min="11" max="11" width="19.1015625" style="80" bestFit="1" customWidth="1"/>
    <col min="12" max="12" width="16.6796875" style="80" customWidth="1"/>
    <col min="13" max="13" width="19.50390625" style="80" customWidth="1"/>
    <col min="14" max="16384" width="10.625" style="63"/>
  </cols>
  <sheetData>
    <row r="1" spans="2:13" ht="19.899999999999999" customHeight="1" x14ac:dyDescent="0.1">
      <c r="B1" s="3" t="s">
        <v>15</v>
      </c>
      <c r="C1" s="195"/>
      <c r="D1" s="195"/>
      <c r="E1" s="195"/>
      <c r="F1" s="195"/>
      <c r="G1" s="195"/>
      <c r="H1" s="195"/>
      <c r="I1" s="80"/>
    </row>
    <row r="2" spans="2:13" ht="19.899999999999999" customHeight="1" x14ac:dyDescent="0.1">
      <c r="B2" s="81"/>
      <c r="C2" s="80"/>
      <c r="D2" s="80"/>
      <c r="E2" s="80"/>
      <c r="F2" s="80"/>
      <c r="G2" s="80"/>
      <c r="H2" s="80"/>
      <c r="I2" s="80"/>
    </row>
    <row r="3" spans="2:13" s="84" customFormat="1" ht="9.75" x14ac:dyDescent="0.1">
      <c r="B3" s="433" t="s">
        <v>1552</v>
      </c>
      <c r="C3" s="433" t="s">
        <v>3801</v>
      </c>
      <c r="D3" s="434" t="s">
        <v>3802</v>
      </c>
      <c r="E3" s="436" t="s">
        <v>3803</v>
      </c>
      <c r="F3" s="437"/>
      <c r="G3" s="438"/>
      <c r="H3" s="439" t="s">
        <v>3804</v>
      </c>
      <c r="I3" s="439"/>
      <c r="J3" s="82"/>
      <c r="K3" s="83"/>
      <c r="L3" s="83"/>
      <c r="M3" s="83"/>
    </row>
    <row r="4" spans="2:13" s="84" customFormat="1" ht="19.5" x14ac:dyDescent="0.1">
      <c r="B4" s="433"/>
      <c r="C4" s="433"/>
      <c r="D4" s="435"/>
      <c r="E4" s="179" t="s">
        <v>3805</v>
      </c>
      <c r="F4" s="181" t="s">
        <v>3806</v>
      </c>
      <c r="G4" s="181" t="s">
        <v>3807</v>
      </c>
      <c r="H4" s="180" t="s">
        <v>3808</v>
      </c>
      <c r="I4" s="182" t="s">
        <v>3809</v>
      </c>
      <c r="J4" s="82"/>
      <c r="K4" s="85"/>
      <c r="L4" s="85"/>
      <c r="M4" s="85"/>
    </row>
    <row r="5" spans="2:13" s="87" customFormat="1" ht="9.75" x14ac:dyDescent="0.1">
      <c r="B5" s="248"/>
      <c r="C5" s="249" t="s">
        <v>701</v>
      </c>
      <c r="D5" s="250">
        <f>D6+D49+D96+D160+D211+D270+D310</f>
        <v>10867673</v>
      </c>
      <c r="E5" s="250">
        <f>E6+E49+E96+E160+E211+E270+E310</f>
        <v>235900000000</v>
      </c>
      <c r="F5" s="250">
        <f>F6+F49+F96+F160+F211+F270+F310</f>
        <v>126467409050</v>
      </c>
      <c r="G5" s="250">
        <f t="shared" ref="G5:I5" si="0">G6+G49+G96+G160+G211+G270+G310</f>
        <v>362367409050</v>
      </c>
      <c r="H5" s="250">
        <f t="shared" si="0"/>
        <v>345382609050</v>
      </c>
      <c r="I5" s="250">
        <f t="shared" si="0"/>
        <v>16984800000</v>
      </c>
      <c r="J5" s="86"/>
      <c r="K5" s="85"/>
      <c r="L5" s="85"/>
      <c r="M5" s="85"/>
    </row>
    <row r="6" spans="2:13" s="87" customFormat="1" ht="15.4" customHeight="1" x14ac:dyDescent="0.1">
      <c r="B6" s="88"/>
      <c r="C6" s="89" t="s">
        <v>3810</v>
      </c>
      <c r="D6" s="90">
        <f t="shared" ref="D6" si="1">D7+D16+D27+D32+D41</f>
        <v>1330081</v>
      </c>
      <c r="E6" s="90">
        <f>E7+E16+E27+E32+E41</f>
        <v>25900000000</v>
      </c>
      <c r="F6" s="90">
        <f>F7+F16+F27+F32+F41</f>
        <v>15478189111.563538</v>
      </c>
      <c r="G6" s="90">
        <f>G7+G16+G27+G32+G41</f>
        <v>41378189111.563538</v>
      </c>
      <c r="H6" s="90">
        <f t="shared" ref="H6:I6" si="2">H7+H16+H27+H32+H41</f>
        <v>39513389111.563538</v>
      </c>
      <c r="I6" s="90">
        <f t="shared" si="2"/>
        <v>1864800000</v>
      </c>
      <c r="J6" s="86"/>
      <c r="K6" s="85"/>
      <c r="L6" s="85"/>
      <c r="M6" s="85"/>
    </row>
    <row r="7" spans="2:13" s="87" customFormat="1" ht="9.75" x14ac:dyDescent="0.1">
      <c r="B7" s="91"/>
      <c r="C7" s="92" t="s">
        <v>3811</v>
      </c>
      <c r="D7" s="93">
        <f t="shared" ref="D7" si="3">SUM(D8:D15)</f>
        <v>261085</v>
      </c>
      <c r="E7" s="93">
        <f>SUM(E8:E15)</f>
        <v>5600000000</v>
      </c>
      <c r="F7" s="93">
        <f t="shared" ref="F7:I7" si="4">SUM(F8:F15)</f>
        <v>3038253312.5370312</v>
      </c>
      <c r="G7" s="93">
        <f t="shared" si="4"/>
        <v>8638253312.5370312</v>
      </c>
      <c r="H7" s="93">
        <f t="shared" si="4"/>
        <v>8235053312.5370321</v>
      </c>
      <c r="I7" s="93">
        <f t="shared" si="4"/>
        <v>403200000</v>
      </c>
      <c r="J7" s="86"/>
      <c r="K7" s="85"/>
      <c r="L7" s="85"/>
      <c r="M7" s="85"/>
    </row>
    <row r="8" spans="2:13" ht="9.75" x14ac:dyDescent="0.1">
      <c r="B8" s="94">
        <v>20101</v>
      </c>
      <c r="C8" s="95" t="s">
        <v>3812</v>
      </c>
      <c r="D8" s="96">
        <v>33340</v>
      </c>
      <c r="E8" s="97">
        <v>700000000</v>
      </c>
      <c r="F8" s="96">
        <f>D8*$H$386</f>
        <v>387978495.27925622</v>
      </c>
      <c r="G8" s="98">
        <f t="shared" ref="G8:G15" si="5">F8+E8</f>
        <v>1087978495.2792563</v>
      </c>
      <c r="H8" s="98">
        <f>G8-I8</f>
        <v>1037578495.2792563</v>
      </c>
      <c r="I8" s="97">
        <v>50400000</v>
      </c>
      <c r="J8" s="99"/>
      <c r="K8" s="85"/>
      <c r="L8" s="85"/>
      <c r="M8" s="100"/>
    </row>
    <row r="9" spans="2:13" ht="9.75" x14ac:dyDescent="0.1">
      <c r="B9" s="94">
        <v>20102</v>
      </c>
      <c r="C9" s="95" t="s">
        <v>3813</v>
      </c>
      <c r="D9" s="96">
        <v>43918</v>
      </c>
      <c r="E9" s="97">
        <f>E8</f>
        <v>700000000</v>
      </c>
      <c r="F9" s="96">
        <f t="shared" ref="F9:F15" si="6">D9*$H$386</f>
        <v>511074971.67589605</v>
      </c>
      <c r="G9" s="98">
        <f t="shared" si="5"/>
        <v>1211074971.6758962</v>
      </c>
      <c r="H9" s="98">
        <f t="shared" ref="H9:H40" si="7">G9-I9</f>
        <v>1160674971.6758962</v>
      </c>
      <c r="I9" s="97">
        <v>50400000</v>
      </c>
      <c r="K9" s="101"/>
      <c r="L9" s="101"/>
      <c r="M9" s="101"/>
    </row>
    <row r="10" spans="2:13" ht="9.75" x14ac:dyDescent="0.1">
      <c r="B10" s="94">
        <v>20103</v>
      </c>
      <c r="C10" s="95" t="s">
        <v>3814</v>
      </c>
      <c r="D10" s="96">
        <v>26305</v>
      </c>
      <c r="E10" s="97">
        <f t="shared" ref="E10:E15" si="8">E9</f>
        <v>700000000</v>
      </c>
      <c r="F10" s="96">
        <f t="shared" si="6"/>
        <v>306112007.14819539</v>
      </c>
      <c r="G10" s="98">
        <f t="shared" si="5"/>
        <v>1006112007.1481954</v>
      </c>
      <c r="H10" s="98">
        <f t="shared" si="7"/>
        <v>955712007.14819539</v>
      </c>
      <c r="I10" s="97">
        <v>50400000</v>
      </c>
      <c r="K10" s="99"/>
    </row>
    <row r="11" spans="2:13" ht="9.75" x14ac:dyDescent="0.1">
      <c r="B11" s="94">
        <v>20104</v>
      </c>
      <c r="C11" s="95" t="s">
        <v>3815</v>
      </c>
      <c r="D11" s="96">
        <v>62801</v>
      </c>
      <c r="E11" s="97">
        <f t="shared" si="8"/>
        <v>700000000</v>
      </c>
      <c r="F11" s="96">
        <f t="shared" si="6"/>
        <v>730816961.06876326</v>
      </c>
      <c r="G11" s="98">
        <f t="shared" si="5"/>
        <v>1430816961.0687633</v>
      </c>
      <c r="H11" s="98">
        <f t="shared" si="7"/>
        <v>1380416961.0687633</v>
      </c>
      <c r="I11" s="97">
        <v>50400000</v>
      </c>
    </row>
    <row r="12" spans="2:13" ht="9.75" x14ac:dyDescent="0.1">
      <c r="B12" s="94">
        <v>20105</v>
      </c>
      <c r="C12" s="95" t="s">
        <v>3816</v>
      </c>
      <c r="D12" s="96">
        <v>14441</v>
      </c>
      <c r="E12" s="97">
        <f t="shared" si="8"/>
        <v>700000000</v>
      </c>
      <c r="F12" s="96">
        <f t="shared" si="6"/>
        <v>168050313.44714275</v>
      </c>
      <c r="G12" s="98">
        <f t="shared" si="5"/>
        <v>868050313.44714272</v>
      </c>
      <c r="H12" s="98">
        <f t="shared" si="7"/>
        <v>817650313.44714272</v>
      </c>
      <c r="I12" s="97">
        <v>50400000</v>
      </c>
    </row>
    <row r="13" spans="2:13" ht="9.75" x14ac:dyDescent="0.1">
      <c r="B13" s="94">
        <v>20106</v>
      </c>
      <c r="C13" s="95" t="s">
        <v>3817</v>
      </c>
      <c r="D13" s="96">
        <v>21073</v>
      </c>
      <c r="E13" s="97">
        <f t="shared" si="8"/>
        <v>700000000</v>
      </c>
      <c r="F13" s="96">
        <f t="shared" si="6"/>
        <v>245227079.51469004</v>
      </c>
      <c r="G13" s="98">
        <f t="shared" si="5"/>
        <v>945227079.51469004</v>
      </c>
      <c r="H13" s="98">
        <f t="shared" si="7"/>
        <v>894827079.51469004</v>
      </c>
      <c r="I13" s="97">
        <v>50400000</v>
      </c>
    </row>
    <row r="14" spans="2:13" ht="9.75" x14ac:dyDescent="0.1">
      <c r="B14" s="94">
        <v>20107</v>
      </c>
      <c r="C14" s="95" t="s">
        <v>3818</v>
      </c>
      <c r="D14" s="96">
        <v>17557</v>
      </c>
      <c r="E14" s="97">
        <f t="shared" si="8"/>
        <v>700000000</v>
      </c>
      <c r="F14" s="96">
        <f t="shared" si="6"/>
        <v>204311290.99033898</v>
      </c>
      <c r="G14" s="98">
        <f t="shared" si="5"/>
        <v>904311290.99033904</v>
      </c>
      <c r="H14" s="98">
        <f t="shared" si="7"/>
        <v>853911290.99033904</v>
      </c>
      <c r="I14" s="97">
        <v>50400000</v>
      </c>
    </row>
    <row r="15" spans="2:13" ht="16.149999999999999" customHeight="1" x14ac:dyDescent="0.1">
      <c r="B15" s="94">
        <v>20108</v>
      </c>
      <c r="C15" s="95" t="s">
        <v>3819</v>
      </c>
      <c r="D15" s="96">
        <v>41650</v>
      </c>
      <c r="E15" s="97">
        <f t="shared" si="8"/>
        <v>700000000</v>
      </c>
      <c r="F15" s="96">
        <f t="shared" si="6"/>
        <v>484682193.4127481</v>
      </c>
      <c r="G15" s="98">
        <f t="shared" si="5"/>
        <v>1184682193.4127481</v>
      </c>
      <c r="H15" s="98">
        <f t="shared" si="7"/>
        <v>1134282193.4127481</v>
      </c>
      <c r="I15" s="97">
        <v>50400000</v>
      </c>
    </row>
    <row r="16" spans="2:13" s="87" customFormat="1" ht="9.75" x14ac:dyDescent="0.1">
      <c r="B16" s="91"/>
      <c r="C16" s="92" t="s">
        <v>3820</v>
      </c>
      <c r="D16" s="93">
        <f t="shared" ref="D16" si="9">SUM(D17:D26)</f>
        <v>552704</v>
      </c>
      <c r="E16" s="93">
        <f>SUM(E17:E26)</f>
        <v>7000000000</v>
      </c>
      <c r="F16" s="93">
        <f>SUM(F17:F26)</f>
        <v>6431831621.3205166</v>
      </c>
      <c r="G16" s="93">
        <f>SUM(G17:G26)</f>
        <v>13431831621.320518</v>
      </c>
      <c r="H16" s="93">
        <f t="shared" ref="H16:I16" si="10">SUM(H17:H26)</f>
        <v>12927831621.320518</v>
      </c>
      <c r="I16" s="93">
        <f t="shared" si="10"/>
        <v>504000000</v>
      </c>
      <c r="J16" s="86"/>
      <c r="K16" s="86"/>
      <c r="L16" s="86"/>
      <c r="M16" s="86"/>
    </row>
    <row r="17" spans="2:13" ht="9.75" x14ac:dyDescent="0.1">
      <c r="B17" s="94">
        <v>20201</v>
      </c>
      <c r="C17" s="95" t="s">
        <v>3821</v>
      </c>
      <c r="D17" s="96">
        <v>31714</v>
      </c>
      <c r="E17" s="97">
        <v>700000000</v>
      </c>
      <c r="F17" s="96">
        <f t="shared" ref="F17:F26" si="11">D17*$H$386</f>
        <v>369056688.64086175</v>
      </c>
      <c r="G17" s="98">
        <f t="shared" ref="G17:G26" si="12">F17+E17</f>
        <v>1069056688.6408617</v>
      </c>
      <c r="H17" s="98">
        <f t="shared" si="7"/>
        <v>1018656688.6408617</v>
      </c>
      <c r="I17" s="97">
        <v>50400000</v>
      </c>
    </row>
    <row r="18" spans="2:13" ht="9.75" x14ac:dyDescent="0.1">
      <c r="B18" s="94">
        <v>20202</v>
      </c>
      <c r="C18" s="95" t="s">
        <v>3822</v>
      </c>
      <c r="D18" s="96">
        <v>75449</v>
      </c>
      <c r="E18" s="97">
        <f>E17</f>
        <v>700000000</v>
      </c>
      <c r="F18" s="96">
        <f t="shared" si="11"/>
        <v>878002084.29287946</v>
      </c>
      <c r="G18" s="98">
        <f t="shared" si="12"/>
        <v>1578002084.2928796</v>
      </c>
      <c r="H18" s="98">
        <f t="shared" si="7"/>
        <v>1527602084.2928796</v>
      </c>
      <c r="I18" s="97">
        <v>50400000</v>
      </c>
    </row>
    <row r="19" spans="2:13" ht="9.75" x14ac:dyDescent="0.1">
      <c r="B19" s="94">
        <v>20203</v>
      </c>
      <c r="C19" s="95" t="s">
        <v>3823</v>
      </c>
      <c r="D19" s="96">
        <v>36709</v>
      </c>
      <c r="E19" s="97">
        <f t="shared" ref="E19:E26" si="13">E18</f>
        <v>700000000</v>
      </c>
      <c r="F19" s="96">
        <f t="shared" si="11"/>
        <v>427183640.76803285</v>
      </c>
      <c r="G19" s="98">
        <f t="shared" si="12"/>
        <v>1127183640.7680328</v>
      </c>
      <c r="H19" s="98">
        <f t="shared" si="7"/>
        <v>1076783640.7680328</v>
      </c>
      <c r="I19" s="97">
        <v>50400000</v>
      </c>
    </row>
    <row r="20" spans="2:13" ht="9.75" x14ac:dyDescent="0.1">
      <c r="B20" s="94">
        <v>20204</v>
      </c>
      <c r="C20" s="95" t="s">
        <v>3824</v>
      </c>
      <c r="D20" s="96">
        <v>139270</v>
      </c>
      <c r="E20" s="97">
        <f t="shared" si="13"/>
        <v>700000000</v>
      </c>
      <c r="F20" s="96">
        <f t="shared" si="11"/>
        <v>1620688813.3635876</v>
      </c>
      <c r="G20" s="98">
        <f t="shared" si="12"/>
        <v>2320688813.3635874</v>
      </c>
      <c r="H20" s="98">
        <f t="shared" si="7"/>
        <v>2270288813.3635874</v>
      </c>
      <c r="I20" s="97">
        <v>50400000</v>
      </c>
    </row>
    <row r="21" spans="2:13" ht="9.75" x14ac:dyDescent="0.1">
      <c r="B21" s="94">
        <v>20205</v>
      </c>
      <c r="C21" s="95" t="s">
        <v>3825</v>
      </c>
      <c r="D21" s="96">
        <v>36113</v>
      </c>
      <c r="E21" s="97">
        <f t="shared" si="13"/>
        <v>700000000</v>
      </c>
      <c r="F21" s="96">
        <f t="shared" si="11"/>
        <v>420247972.40611213</v>
      </c>
      <c r="G21" s="98">
        <f t="shared" si="12"/>
        <v>1120247972.4061122</v>
      </c>
      <c r="H21" s="98">
        <f t="shared" si="7"/>
        <v>1069847972.4061122</v>
      </c>
      <c r="I21" s="97">
        <v>50400000</v>
      </c>
    </row>
    <row r="22" spans="2:13" ht="9.75" x14ac:dyDescent="0.1">
      <c r="B22" s="94">
        <v>20206</v>
      </c>
      <c r="C22" s="95" t="s">
        <v>3826</v>
      </c>
      <c r="D22" s="96">
        <v>70591</v>
      </c>
      <c r="E22" s="97">
        <f t="shared" si="13"/>
        <v>700000000</v>
      </c>
      <c r="F22" s="96">
        <f t="shared" si="11"/>
        <v>821469404.92675388</v>
      </c>
      <c r="G22" s="98">
        <f t="shared" si="12"/>
        <v>1521469404.926754</v>
      </c>
      <c r="H22" s="98">
        <f t="shared" si="7"/>
        <v>1471069404.926754</v>
      </c>
      <c r="I22" s="97">
        <v>50400000</v>
      </c>
    </row>
    <row r="23" spans="2:13" ht="9.75" x14ac:dyDescent="0.1">
      <c r="B23" s="94">
        <v>20207</v>
      </c>
      <c r="C23" s="95" t="s">
        <v>3827</v>
      </c>
      <c r="D23" s="96">
        <v>12622</v>
      </c>
      <c r="E23" s="97">
        <f t="shared" si="13"/>
        <v>700000000</v>
      </c>
      <c r="F23" s="96">
        <f t="shared" si="11"/>
        <v>146882560.51034108</v>
      </c>
      <c r="G23" s="98">
        <f t="shared" si="12"/>
        <v>846882560.51034105</v>
      </c>
      <c r="H23" s="98">
        <f t="shared" si="7"/>
        <v>796482560.51034105</v>
      </c>
      <c r="I23" s="97">
        <v>50400000</v>
      </c>
    </row>
    <row r="24" spans="2:13" ht="9.75" x14ac:dyDescent="0.1">
      <c r="B24" s="94">
        <v>20208</v>
      </c>
      <c r="C24" s="95" t="s">
        <v>3828</v>
      </c>
      <c r="D24" s="96">
        <v>93919</v>
      </c>
      <c r="E24" s="97">
        <f t="shared" si="13"/>
        <v>700000000</v>
      </c>
      <c r="F24" s="96">
        <f t="shared" si="11"/>
        <v>1092937981.3477044</v>
      </c>
      <c r="G24" s="98">
        <f t="shared" si="12"/>
        <v>1792937981.3477044</v>
      </c>
      <c r="H24" s="98">
        <f t="shared" si="7"/>
        <v>1742537981.3477044</v>
      </c>
      <c r="I24" s="97">
        <v>50400000</v>
      </c>
    </row>
    <row r="25" spans="2:13" ht="9.75" x14ac:dyDescent="0.1">
      <c r="B25" s="94">
        <v>20209</v>
      </c>
      <c r="C25" s="95" t="s">
        <v>3829</v>
      </c>
      <c r="D25" s="96">
        <v>14591</v>
      </c>
      <c r="E25" s="97">
        <f t="shared" si="13"/>
        <v>700000000</v>
      </c>
      <c r="F25" s="96">
        <f t="shared" si="11"/>
        <v>169795867.56507581</v>
      </c>
      <c r="G25" s="98">
        <f t="shared" si="12"/>
        <v>869795867.56507587</v>
      </c>
      <c r="H25" s="98">
        <f t="shared" si="7"/>
        <v>819395867.56507587</v>
      </c>
      <c r="I25" s="97">
        <v>50400000</v>
      </c>
    </row>
    <row r="26" spans="2:13" ht="9.75" x14ac:dyDescent="0.1">
      <c r="B26" s="94">
        <v>20210</v>
      </c>
      <c r="C26" s="95" t="s">
        <v>3830</v>
      </c>
      <c r="D26" s="96">
        <v>41726</v>
      </c>
      <c r="E26" s="97">
        <f t="shared" si="13"/>
        <v>700000000</v>
      </c>
      <c r="F26" s="96">
        <f t="shared" si="11"/>
        <v>485566607.4991675</v>
      </c>
      <c r="G26" s="98">
        <f t="shared" si="12"/>
        <v>1185566607.4991674</v>
      </c>
      <c r="H26" s="98">
        <f t="shared" si="7"/>
        <v>1135166607.4991674</v>
      </c>
      <c r="I26" s="97">
        <v>50400000</v>
      </c>
    </row>
    <row r="27" spans="2:13" s="87" customFormat="1" ht="9.75" x14ac:dyDescent="0.1">
      <c r="B27" s="91"/>
      <c r="C27" s="92" t="s">
        <v>3831</v>
      </c>
      <c r="D27" s="93">
        <f t="shared" ref="D27" si="14">SUM(D28:D31)</f>
        <v>118796</v>
      </c>
      <c r="E27" s="93">
        <f>SUM(E28:E31)</f>
        <v>2800000000</v>
      </c>
      <c r="F27" s="93">
        <f>SUM(F28:F31)</f>
        <v>1382432313.2931769</v>
      </c>
      <c r="G27" s="93">
        <f>SUM(G28:G31)</f>
        <v>4182432313.2931767</v>
      </c>
      <c r="H27" s="93">
        <f t="shared" ref="H27:I27" si="15">SUM(H28:H31)</f>
        <v>3980832313.2931767</v>
      </c>
      <c r="I27" s="93">
        <f t="shared" si="15"/>
        <v>201600000</v>
      </c>
      <c r="J27" s="86"/>
      <c r="K27" s="86"/>
      <c r="L27" s="86"/>
      <c r="M27" s="86"/>
    </row>
    <row r="28" spans="2:13" ht="9.75" x14ac:dyDescent="0.1">
      <c r="B28" s="94">
        <v>20301</v>
      </c>
      <c r="C28" s="95" t="s">
        <v>3832</v>
      </c>
      <c r="D28" s="96">
        <v>17012</v>
      </c>
      <c r="E28" s="97">
        <v>700000000</v>
      </c>
      <c r="F28" s="96">
        <f>D28*$H$386</f>
        <v>197969111.02851549</v>
      </c>
      <c r="G28" s="98">
        <f>F28+E28</f>
        <v>897969111.02851546</v>
      </c>
      <c r="H28" s="98">
        <f t="shared" si="7"/>
        <v>847569111.02851546</v>
      </c>
      <c r="I28" s="97">
        <v>50400000</v>
      </c>
      <c r="J28" s="86"/>
    </row>
    <row r="29" spans="2:13" ht="9.75" x14ac:dyDescent="0.1">
      <c r="B29" s="94">
        <v>20302</v>
      </c>
      <c r="C29" s="95" t="s">
        <v>3833</v>
      </c>
      <c r="D29" s="96">
        <v>10645</v>
      </c>
      <c r="E29" s="97">
        <f>E28</f>
        <v>700000000</v>
      </c>
      <c r="F29" s="96">
        <f>D29*$H$386</f>
        <v>123876157.23598327</v>
      </c>
      <c r="G29" s="98">
        <f>F29+E29</f>
        <v>823876157.23598325</v>
      </c>
      <c r="H29" s="98">
        <f t="shared" si="7"/>
        <v>773476157.23598325</v>
      </c>
      <c r="I29" s="97">
        <v>50400000</v>
      </c>
      <c r="J29" s="86"/>
    </row>
    <row r="30" spans="2:13" ht="9.75" x14ac:dyDescent="0.1">
      <c r="B30" s="94">
        <v>20303</v>
      </c>
      <c r="C30" s="95" t="s">
        <v>3834</v>
      </c>
      <c r="D30" s="96">
        <v>75679</v>
      </c>
      <c r="E30" s="97">
        <f t="shared" ref="E30:E31" si="16">E29</f>
        <v>700000000</v>
      </c>
      <c r="F30" s="96">
        <f>D30*$H$386</f>
        <v>880678600.6070435</v>
      </c>
      <c r="G30" s="98">
        <f>F30+E30</f>
        <v>1580678600.6070435</v>
      </c>
      <c r="H30" s="98">
        <f t="shared" si="7"/>
        <v>1530278600.6070435</v>
      </c>
      <c r="I30" s="97">
        <v>50400000</v>
      </c>
    </row>
    <row r="31" spans="2:13" ht="9.75" x14ac:dyDescent="0.1">
      <c r="B31" s="94">
        <v>20304</v>
      </c>
      <c r="C31" s="95" t="s">
        <v>3835</v>
      </c>
      <c r="D31" s="96">
        <v>15460</v>
      </c>
      <c r="E31" s="97">
        <f t="shared" si="16"/>
        <v>700000000</v>
      </c>
      <c r="F31" s="96">
        <f>D31*$H$386</f>
        <v>179908444.4216347</v>
      </c>
      <c r="G31" s="98">
        <f>F31+E31</f>
        <v>879908444.42163467</v>
      </c>
      <c r="H31" s="98">
        <f t="shared" si="7"/>
        <v>829508444.42163467</v>
      </c>
      <c r="I31" s="97">
        <v>50400000</v>
      </c>
    </row>
    <row r="32" spans="2:13" s="87" customFormat="1" ht="9.75" x14ac:dyDescent="0.1">
      <c r="B32" s="91"/>
      <c r="C32" s="92" t="s">
        <v>3836</v>
      </c>
      <c r="D32" s="93">
        <f t="shared" ref="D32" si="17">SUM(D33:D40)</f>
        <v>237893</v>
      </c>
      <c r="E32" s="93">
        <f>SUM(E33:E40)</f>
        <v>5600000000</v>
      </c>
      <c r="F32" s="93">
        <f>SUM(F33:F40)</f>
        <v>2768367371.8496733</v>
      </c>
      <c r="G32" s="93">
        <f>SUM(G33:G40)</f>
        <v>8368367371.8496723</v>
      </c>
      <c r="H32" s="93">
        <f t="shared" ref="H32:I32" si="18">SUM(H33:H40)</f>
        <v>7965167371.8496723</v>
      </c>
      <c r="I32" s="93">
        <f t="shared" si="18"/>
        <v>403200000</v>
      </c>
      <c r="J32" s="86"/>
      <c r="K32" s="86"/>
      <c r="L32" s="86"/>
      <c r="M32" s="86"/>
    </row>
    <row r="33" spans="2:13" ht="9.75" x14ac:dyDescent="0.1">
      <c r="B33" s="94">
        <v>20401</v>
      </c>
      <c r="C33" s="95" t="s">
        <v>3837</v>
      </c>
      <c r="D33" s="96">
        <v>12491</v>
      </c>
      <c r="E33" s="97">
        <v>700000000</v>
      </c>
      <c r="F33" s="96">
        <f t="shared" ref="F33:F40" si="19">D33*$H$386</f>
        <v>145358109.91401288</v>
      </c>
      <c r="G33" s="98">
        <f t="shared" ref="G33:G40" si="20">F33+E33</f>
        <v>845358109.91401291</v>
      </c>
      <c r="H33" s="98">
        <f t="shared" si="7"/>
        <v>794958109.91401291</v>
      </c>
      <c r="I33" s="97">
        <v>50400000</v>
      </c>
    </row>
    <row r="34" spans="2:13" ht="9.75" x14ac:dyDescent="0.1">
      <c r="B34" s="94">
        <v>20402</v>
      </c>
      <c r="C34" s="95" t="s">
        <v>3838</v>
      </c>
      <c r="D34" s="96">
        <v>25279</v>
      </c>
      <c r="E34" s="97">
        <f>E33</f>
        <v>700000000</v>
      </c>
      <c r="F34" s="96">
        <f t="shared" si="19"/>
        <v>294172416.98153323</v>
      </c>
      <c r="G34" s="98">
        <f t="shared" si="20"/>
        <v>994172416.98153329</v>
      </c>
      <c r="H34" s="98">
        <f t="shared" si="7"/>
        <v>943772416.98153329</v>
      </c>
      <c r="I34" s="97">
        <v>50400000</v>
      </c>
    </row>
    <row r="35" spans="2:13" ht="9.75" x14ac:dyDescent="0.1">
      <c r="B35" s="94">
        <v>20403</v>
      </c>
      <c r="C35" s="95" t="s">
        <v>3839</v>
      </c>
      <c r="D35" s="96">
        <v>40102</v>
      </c>
      <c r="E35" s="97">
        <f t="shared" ref="E35:E40" si="21">E34</f>
        <v>700000000</v>
      </c>
      <c r="F35" s="96">
        <f t="shared" si="19"/>
        <v>466668074.91567886</v>
      </c>
      <c r="G35" s="98">
        <f t="shared" si="20"/>
        <v>1166668074.915679</v>
      </c>
      <c r="H35" s="98">
        <f t="shared" si="7"/>
        <v>1116268074.915679</v>
      </c>
      <c r="I35" s="97">
        <v>50400000</v>
      </c>
    </row>
    <row r="36" spans="2:13" ht="9.75" x14ac:dyDescent="0.1">
      <c r="B36" s="94">
        <v>20404</v>
      </c>
      <c r="C36" s="95" t="s">
        <v>3840</v>
      </c>
      <c r="D36" s="96">
        <v>57045</v>
      </c>
      <c r="E36" s="97">
        <f t="shared" si="21"/>
        <v>700000000</v>
      </c>
      <c r="F36" s="96">
        <f t="shared" si="19"/>
        <v>663834231.04994512</v>
      </c>
      <c r="G36" s="98">
        <f t="shared" si="20"/>
        <v>1363834231.0499451</v>
      </c>
      <c r="H36" s="98">
        <f t="shared" si="7"/>
        <v>1313434231.0499451</v>
      </c>
      <c r="I36" s="97">
        <v>50400000</v>
      </c>
    </row>
    <row r="37" spans="2:13" ht="9.75" x14ac:dyDescent="0.1">
      <c r="B37" s="94">
        <v>20405</v>
      </c>
      <c r="C37" s="95" t="s">
        <v>3841</v>
      </c>
      <c r="D37" s="96">
        <v>22655</v>
      </c>
      <c r="E37" s="97">
        <f t="shared" si="21"/>
        <v>700000000</v>
      </c>
      <c r="F37" s="96">
        <f t="shared" si="19"/>
        <v>263636856.94515744</v>
      </c>
      <c r="G37" s="98">
        <f t="shared" si="20"/>
        <v>963636856.94515741</v>
      </c>
      <c r="H37" s="98">
        <f t="shared" si="7"/>
        <v>913236856.94515741</v>
      </c>
      <c r="I37" s="97">
        <v>50400000</v>
      </c>
    </row>
    <row r="38" spans="2:13" ht="9.75" x14ac:dyDescent="0.1">
      <c r="B38" s="94">
        <v>20406</v>
      </c>
      <c r="C38" s="95" t="s">
        <v>3842</v>
      </c>
      <c r="D38" s="96">
        <v>17417</v>
      </c>
      <c r="E38" s="97">
        <f t="shared" si="21"/>
        <v>700000000</v>
      </c>
      <c r="F38" s="96">
        <f t="shared" si="19"/>
        <v>202682107.14693478</v>
      </c>
      <c r="G38" s="98">
        <f t="shared" si="20"/>
        <v>902682107.14693475</v>
      </c>
      <c r="H38" s="98">
        <f t="shared" si="7"/>
        <v>852282107.14693475</v>
      </c>
      <c r="I38" s="97">
        <v>50400000</v>
      </c>
    </row>
    <row r="39" spans="2:13" ht="9.75" x14ac:dyDescent="0.1">
      <c r="B39" s="94">
        <v>20407</v>
      </c>
      <c r="C39" s="95" t="s">
        <v>3843</v>
      </c>
      <c r="D39" s="96">
        <v>32061</v>
      </c>
      <c r="E39" s="97">
        <f t="shared" si="21"/>
        <v>700000000</v>
      </c>
      <c r="F39" s="96">
        <f t="shared" si="19"/>
        <v>373094737.16701359</v>
      </c>
      <c r="G39" s="98">
        <f t="shared" si="20"/>
        <v>1073094737.1670136</v>
      </c>
      <c r="H39" s="98">
        <f t="shared" si="7"/>
        <v>1022694737.1670136</v>
      </c>
      <c r="I39" s="97">
        <v>50400000</v>
      </c>
    </row>
    <row r="40" spans="2:13" ht="9.75" x14ac:dyDescent="0.1">
      <c r="B40" s="94">
        <v>20408</v>
      </c>
      <c r="C40" s="95" t="s">
        <v>3844</v>
      </c>
      <c r="D40" s="96">
        <v>30843</v>
      </c>
      <c r="E40" s="97">
        <f t="shared" si="21"/>
        <v>700000000</v>
      </c>
      <c r="F40" s="96">
        <f t="shared" si="19"/>
        <v>358920837.72939712</v>
      </c>
      <c r="G40" s="98">
        <f t="shared" si="20"/>
        <v>1058920837.7293971</v>
      </c>
      <c r="H40" s="98">
        <f t="shared" si="7"/>
        <v>1008520837.7293971</v>
      </c>
      <c r="I40" s="97">
        <v>50400000</v>
      </c>
    </row>
    <row r="41" spans="2:13" s="87" customFormat="1" ht="9.75" x14ac:dyDescent="0.1">
      <c r="B41" s="91"/>
      <c r="C41" s="92" t="s">
        <v>3845</v>
      </c>
      <c r="D41" s="93">
        <f t="shared" ref="D41" si="22">SUM(D42:D48)</f>
        <v>159603</v>
      </c>
      <c r="E41" s="93">
        <f>SUM(E42:E48)</f>
        <v>4900000000</v>
      </c>
      <c r="F41" s="93">
        <f>SUM(F42:F48)</f>
        <v>1857304492.5631413</v>
      </c>
      <c r="G41" s="93">
        <f>SUM(G42:G48)</f>
        <v>6757304492.5631409</v>
      </c>
      <c r="H41" s="93">
        <f t="shared" ref="H41:I41" si="23">SUM(H42:H48)</f>
        <v>6404504492.5631409</v>
      </c>
      <c r="I41" s="93">
        <f t="shared" si="23"/>
        <v>352800000</v>
      </c>
      <c r="J41" s="86"/>
      <c r="K41" s="86"/>
      <c r="L41" s="86"/>
      <c r="M41" s="86"/>
    </row>
    <row r="42" spans="2:13" ht="9.75" x14ac:dyDescent="0.1">
      <c r="B42" s="94">
        <v>20501</v>
      </c>
      <c r="C42" s="95" t="s">
        <v>3846</v>
      </c>
      <c r="D42" s="96">
        <v>17565</v>
      </c>
      <c r="E42" s="97">
        <v>700000000</v>
      </c>
      <c r="F42" s="96">
        <f t="shared" ref="F42:F48" si="24">D42*$H$386</f>
        <v>204404387.20996207</v>
      </c>
      <c r="G42" s="98">
        <f t="shared" ref="G42:G48" si="25">F42+E42</f>
        <v>904404387.20996213</v>
      </c>
      <c r="H42" s="98">
        <f t="shared" ref="H42:H48" si="26">G42-I42</f>
        <v>854004387.20996213</v>
      </c>
      <c r="I42" s="97">
        <v>50400000</v>
      </c>
    </row>
    <row r="43" spans="2:13" ht="9.75" x14ac:dyDescent="0.1">
      <c r="B43" s="94">
        <v>20502</v>
      </c>
      <c r="C43" s="95" t="s">
        <v>3847</v>
      </c>
      <c r="D43" s="96">
        <v>19821</v>
      </c>
      <c r="E43" s="97">
        <v>700000000</v>
      </c>
      <c r="F43" s="96">
        <f t="shared" si="24"/>
        <v>230657521.14367539</v>
      </c>
      <c r="G43" s="98">
        <f t="shared" si="25"/>
        <v>930657521.14367533</v>
      </c>
      <c r="H43" s="98">
        <f t="shared" si="26"/>
        <v>880257521.14367533</v>
      </c>
      <c r="I43" s="97">
        <v>50400000</v>
      </c>
    </row>
    <row r="44" spans="2:13" ht="9.75" x14ac:dyDescent="0.1">
      <c r="B44" s="94">
        <v>20503</v>
      </c>
      <c r="C44" s="95" t="s">
        <v>3848</v>
      </c>
      <c r="D44" s="96">
        <v>33483</v>
      </c>
      <c r="E44" s="97">
        <v>700000000</v>
      </c>
      <c r="F44" s="96">
        <f t="shared" si="24"/>
        <v>389642590.20501906</v>
      </c>
      <c r="G44" s="98">
        <f t="shared" si="25"/>
        <v>1089642590.205019</v>
      </c>
      <c r="H44" s="98">
        <f t="shared" si="26"/>
        <v>1039242590.205019</v>
      </c>
      <c r="I44" s="97">
        <v>50400000</v>
      </c>
    </row>
    <row r="45" spans="2:13" ht="9.75" x14ac:dyDescent="0.1">
      <c r="B45" s="94">
        <v>20504</v>
      </c>
      <c r="C45" s="95" t="s">
        <v>3849</v>
      </c>
      <c r="D45" s="96">
        <v>19191</v>
      </c>
      <c r="E45" s="97">
        <v>700000000</v>
      </c>
      <c r="F45" s="96">
        <f t="shared" si="24"/>
        <v>223326193.84835652</v>
      </c>
      <c r="G45" s="98">
        <f t="shared" si="25"/>
        <v>923326193.84835649</v>
      </c>
      <c r="H45" s="98">
        <f t="shared" si="26"/>
        <v>872926193.84835649</v>
      </c>
      <c r="I45" s="97">
        <v>50400000</v>
      </c>
    </row>
    <row r="46" spans="2:13" ht="9.75" x14ac:dyDescent="0.1">
      <c r="B46" s="94">
        <v>20505</v>
      </c>
      <c r="C46" s="95" t="s">
        <v>3850</v>
      </c>
      <c r="D46" s="96">
        <v>41178</v>
      </c>
      <c r="E46" s="97">
        <v>700000000</v>
      </c>
      <c r="F46" s="96">
        <f t="shared" si="24"/>
        <v>479189516.45498538</v>
      </c>
      <c r="G46" s="98">
        <f t="shared" si="25"/>
        <v>1179189516.4549854</v>
      </c>
      <c r="H46" s="98">
        <f t="shared" si="26"/>
        <v>1128789516.4549854</v>
      </c>
      <c r="I46" s="97">
        <v>50400000</v>
      </c>
    </row>
    <row r="47" spans="2:13" ht="9.75" x14ac:dyDescent="0.1">
      <c r="B47" s="94">
        <v>20506</v>
      </c>
      <c r="C47" s="95" t="s">
        <v>3851</v>
      </c>
      <c r="D47" s="96">
        <v>18762</v>
      </c>
      <c r="E47" s="97">
        <v>700000000</v>
      </c>
      <c r="F47" s="96">
        <f t="shared" si="24"/>
        <v>218333909.07106793</v>
      </c>
      <c r="G47" s="98">
        <f t="shared" si="25"/>
        <v>918333909.07106793</v>
      </c>
      <c r="H47" s="98">
        <f t="shared" si="26"/>
        <v>867933909.07106793</v>
      </c>
      <c r="I47" s="97">
        <v>50400000</v>
      </c>
    </row>
    <row r="48" spans="2:13" ht="9.75" x14ac:dyDescent="0.1">
      <c r="B48" s="94">
        <v>20507</v>
      </c>
      <c r="C48" s="95" t="s">
        <v>3852</v>
      </c>
      <c r="D48" s="96">
        <v>9603</v>
      </c>
      <c r="E48" s="97">
        <v>700000000</v>
      </c>
      <c r="F48" s="96">
        <f t="shared" si="24"/>
        <v>111750374.6300749</v>
      </c>
      <c r="G48" s="98">
        <f t="shared" si="25"/>
        <v>811750374.63007486</v>
      </c>
      <c r="H48" s="98">
        <f t="shared" si="26"/>
        <v>761350374.63007486</v>
      </c>
      <c r="I48" s="97">
        <v>50400000</v>
      </c>
    </row>
    <row r="49" spans="2:13" ht="9.75" x14ac:dyDescent="0.1">
      <c r="B49" s="88"/>
      <c r="C49" s="89" t="s">
        <v>3853</v>
      </c>
      <c r="D49" s="90">
        <f t="shared" ref="D49" si="27">D50+D60+D69+D82</f>
        <v>1156311</v>
      </c>
      <c r="E49" s="90">
        <f>E50+E60+E69+E82</f>
        <v>29400000000</v>
      </c>
      <c r="F49" s="90">
        <f>F50+F60+F69+F82</f>
        <v>13456022851.075346</v>
      </c>
      <c r="G49" s="90">
        <f>G50+G60+G69+G82</f>
        <v>42856022851.075348</v>
      </c>
      <c r="H49" s="90">
        <f t="shared" ref="H49:I49" si="28">H50+H60+H69+H82</f>
        <v>40739222851.075348</v>
      </c>
      <c r="I49" s="90">
        <f t="shared" si="28"/>
        <v>2116800000</v>
      </c>
      <c r="J49" s="63"/>
      <c r="K49" s="63"/>
      <c r="L49" s="63"/>
      <c r="M49" s="63"/>
    </row>
    <row r="50" spans="2:13" ht="9.75" x14ac:dyDescent="0.1">
      <c r="B50" s="91"/>
      <c r="C50" s="92" t="s">
        <v>3854</v>
      </c>
      <c r="D50" s="93">
        <f t="shared" ref="D50" si="29">SUM(D51:D59)</f>
        <v>222592</v>
      </c>
      <c r="E50" s="93">
        <f t="shared" ref="E50:I50" si="30">SUM(E51:E59)</f>
        <v>6300000000</v>
      </c>
      <c r="F50" s="93">
        <f t="shared" si="30"/>
        <v>2590309214.7930474</v>
      </c>
      <c r="G50" s="93">
        <f t="shared" si="30"/>
        <v>8890309214.793047</v>
      </c>
      <c r="H50" s="93">
        <f t="shared" si="30"/>
        <v>8436709214.793047</v>
      </c>
      <c r="I50" s="93">
        <f t="shared" si="30"/>
        <v>453600000</v>
      </c>
      <c r="J50" s="63"/>
      <c r="K50" s="63"/>
      <c r="L50" s="63"/>
      <c r="M50" s="63"/>
    </row>
    <row r="51" spans="2:13" ht="9.75" x14ac:dyDescent="0.1">
      <c r="B51" s="94">
        <v>30101</v>
      </c>
      <c r="C51" s="95" t="s">
        <v>3855</v>
      </c>
      <c r="D51" s="96">
        <v>20295</v>
      </c>
      <c r="E51" s="97">
        <v>700000000</v>
      </c>
      <c r="F51" s="96">
        <f t="shared" ref="F51:F59" si="31">D51*$H$386</f>
        <v>236173472.15634388</v>
      </c>
      <c r="G51" s="98">
        <f t="shared" ref="G51:G59" si="32">F51+E51</f>
        <v>936173472.15634394</v>
      </c>
      <c r="H51" s="98">
        <f t="shared" ref="H51:H68" si="33">G51-I51</f>
        <v>885773472.15634394</v>
      </c>
      <c r="I51" s="97">
        <v>50400000</v>
      </c>
      <c r="J51" s="63"/>
      <c r="K51" s="63"/>
      <c r="L51" s="63"/>
      <c r="M51" s="63"/>
    </row>
    <row r="52" spans="2:13" ht="9.75" x14ac:dyDescent="0.1">
      <c r="B52" s="94">
        <v>30102</v>
      </c>
      <c r="C52" s="95" t="s">
        <v>3856</v>
      </c>
      <c r="D52" s="96">
        <v>29015</v>
      </c>
      <c r="E52" s="97">
        <v>700000000</v>
      </c>
      <c r="F52" s="96">
        <f t="shared" si="31"/>
        <v>337648351.54551947</v>
      </c>
      <c r="G52" s="98">
        <f t="shared" si="32"/>
        <v>1037648351.5455195</v>
      </c>
      <c r="H52" s="98">
        <f t="shared" si="33"/>
        <v>987248351.54551947</v>
      </c>
      <c r="I52" s="97">
        <v>50400000</v>
      </c>
      <c r="J52" s="63"/>
      <c r="K52" s="63"/>
      <c r="L52" s="63"/>
      <c r="M52" s="63"/>
    </row>
    <row r="53" spans="2:13" ht="9.75" x14ac:dyDescent="0.1">
      <c r="B53" s="94">
        <v>30103</v>
      </c>
      <c r="C53" s="95" t="s">
        <v>3857</v>
      </c>
      <c r="D53" s="96">
        <v>35194</v>
      </c>
      <c r="E53" s="97">
        <v>700000000</v>
      </c>
      <c r="F53" s="96">
        <f t="shared" si="31"/>
        <v>409553544.17690891</v>
      </c>
      <c r="G53" s="98">
        <f t="shared" si="32"/>
        <v>1109553544.176909</v>
      </c>
      <c r="H53" s="98">
        <f t="shared" si="33"/>
        <v>1059153544.176909</v>
      </c>
      <c r="I53" s="97">
        <v>50400000</v>
      </c>
      <c r="J53" s="63"/>
      <c r="K53" s="63"/>
      <c r="L53" s="63"/>
      <c r="M53" s="63"/>
    </row>
    <row r="54" spans="2:13" ht="9.75" x14ac:dyDescent="0.1">
      <c r="B54" s="94">
        <v>30104</v>
      </c>
      <c r="C54" s="95" t="s">
        <v>3858</v>
      </c>
      <c r="D54" s="96">
        <v>47269</v>
      </c>
      <c r="E54" s="97">
        <v>700000000</v>
      </c>
      <c r="F54" s="96">
        <f t="shared" si="31"/>
        <v>550070650.67052078</v>
      </c>
      <c r="G54" s="98">
        <f t="shared" si="32"/>
        <v>1250070650.6705208</v>
      </c>
      <c r="H54" s="98">
        <f t="shared" si="33"/>
        <v>1199670650.6705208</v>
      </c>
      <c r="I54" s="97">
        <v>50400000</v>
      </c>
      <c r="J54" s="63"/>
      <c r="K54" s="63"/>
      <c r="L54" s="63"/>
      <c r="M54" s="63"/>
    </row>
    <row r="55" spans="2:13" ht="9.75" x14ac:dyDescent="0.1">
      <c r="B55" s="94">
        <v>30105</v>
      </c>
      <c r="C55" s="95" t="s">
        <v>3859</v>
      </c>
      <c r="D55" s="96">
        <v>34100</v>
      </c>
      <c r="E55" s="97">
        <v>700000000</v>
      </c>
      <c r="F55" s="96">
        <f t="shared" si="31"/>
        <v>396822636.14345038</v>
      </c>
      <c r="G55" s="98">
        <f t="shared" si="32"/>
        <v>1096822636.1434503</v>
      </c>
      <c r="H55" s="98">
        <f t="shared" si="33"/>
        <v>1046422636.1434503</v>
      </c>
      <c r="I55" s="97">
        <v>50400000</v>
      </c>
      <c r="J55" s="63"/>
      <c r="K55" s="63"/>
      <c r="L55" s="63"/>
      <c r="M55" s="63"/>
    </row>
    <row r="56" spans="2:13" ht="9.75" x14ac:dyDescent="0.1">
      <c r="B56" s="94">
        <v>30106</v>
      </c>
      <c r="C56" s="95" t="s">
        <v>3860</v>
      </c>
      <c r="D56" s="96">
        <v>16341</v>
      </c>
      <c r="E56" s="97">
        <v>700000000</v>
      </c>
      <c r="F56" s="96">
        <f t="shared" si="31"/>
        <v>190160665.60762826</v>
      </c>
      <c r="G56" s="98">
        <f t="shared" si="32"/>
        <v>890160665.60762823</v>
      </c>
      <c r="H56" s="98">
        <f t="shared" si="33"/>
        <v>839760665.60762823</v>
      </c>
      <c r="I56" s="97">
        <v>50400000</v>
      </c>
      <c r="J56" s="63"/>
      <c r="K56" s="63"/>
      <c r="L56" s="63"/>
      <c r="M56" s="63"/>
    </row>
    <row r="57" spans="2:13" ht="9.75" x14ac:dyDescent="0.1">
      <c r="B57" s="94">
        <v>30107</v>
      </c>
      <c r="C57" s="95" t="s">
        <v>3861</v>
      </c>
      <c r="D57" s="96">
        <v>7843</v>
      </c>
      <c r="E57" s="97">
        <v>700000000</v>
      </c>
      <c r="F57" s="96">
        <f t="shared" si="31"/>
        <v>91269206.312993586</v>
      </c>
      <c r="G57" s="98">
        <f t="shared" si="32"/>
        <v>791269206.31299353</v>
      </c>
      <c r="H57" s="98">
        <f t="shared" si="33"/>
        <v>740869206.31299353</v>
      </c>
      <c r="I57" s="97">
        <v>50400000</v>
      </c>
      <c r="J57" s="63"/>
      <c r="K57" s="63"/>
      <c r="L57" s="63"/>
      <c r="M57" s="63"/>
    </row>
    <row r="58" spans="2:13" ht="9.75" x14ac:dyDescent="0.1">
      <c r="B58" s="94">
        <v>30108</v>
      </c>
      <c r="C58" s="95" t="s">
        <v>3862</v>
      </c>
      <c r="D58" s="96">
        <v>12305</v>
      </c>
      <c r="E58" s="97">
        <v>700000000</v>
      </c>
      <c r="F58" s="96">
        <f t="shared" si="31"/>
        <v>143193622.80777588</v>
      </c>
      <c r="G58" s="98">
        <f t="shared" si="32"/>
        <v>843193622.80777586</v>
      </c>
      <c r="H58" s="98">
        <f t="shared" si="33"/>
        <v>792793622.80777586</v>
      </c>
      <c r="I58" s="97">
        <v>50400000</v>
      </c>
      <c r="J58" s="63"/>
      <c r="K58" s="63"/>
      <c r="L58" s="63"/>
      <c r="M58" s="63"/>
    </row>
    <row r="59" spans="2:13" ht="9.75" x14ac:dyDescent="0.1">
      <c r="B59" s="94">
        <v>30109</v>
      </c>
      <c r="C59" s="95" t="s">
        <v>3863</v>
      </c>
      <c r="D59" s="96">
        <v>20230</v>
      </c>
      <c r="E59" s="97">
        <v>700000000</v>
      </c>
      <c r="F59" s="96">
        <f t="shared" si="31"/>
        <v>235417065.37190622</v>
      </c>
      <c r="G59" s="98">
        <f t="shared" si="32"/>
        <v>935417065.37190628</v>
      </c>
      <c r="H59" s="98">
        <f t="shared" si="33"/>
        <v>885017065.37190628</v>
      </c>
      <c r="I59" s="97">
        <v>50400000</v>
      </c>
      <c r="J59" s="63"/>
      <c r="K59" s="63"/>
      <c r="L59" s="63"/>
      <c r="M59" s="63"/>
    </row>
    <row r="60" spans="2:13" ht="9.75" x14ac:dyDescent="0.1">
      <c r="B60" s="91"/>
      <c r="C60" s="92" t="s">
        <v>3864</v>
      </c>
      <c r="D60" s="93">
        <f t="shared" ref="D60" si="34">SUM(D61:D68)</f>
        <v>241351</v>
      </c>
      <c r="E60" s="93">
        <f>SUM(E61:E68)</f>
        <v>5600000000</v>
      </c>
      <c r="F60" s="93">
        <f>SUM(F61:F68)</f>
        <v>2808608212.7817569</v>
      </c>
      <c r="G60" s="93">
        <f>SUM(G61:G68)</f>
        <v>8408608212.7817574</v>
      </c>
      <c r="H60" s="93">
        <f t="shared" ref="H60:I60" si="35">SUM(H61:H68)</f>
        <v>8005408212.7817574</v>
      </c>
      <c r="I60" s="93">
        <f t="shared" si="35"/>
        <v>403200000</v>
      </c>
      <c r="J60" s="63"/>
      <c r="K60" s="63"/>
      <c r="L60" s="63"/>
      <c r="M60" s="63"/>
    </row>
    <row r="61" spans="2:13" ht="9.75" x14ac:dyDescent="0.1">
      <c r="B61" s="94">
        <v>30201</v>
      </c>
      <c r="C61" s="95" t="s">
        <v>3865</v>
      </c>
      <c r="D61" s="96">
        <v>41565</v>
      </c>
      <c r="E61" s="97">
        <v>700000000</v>
      </c>
      <c r="F61" s="96">
        <f t="shared" ref="F61:F68" si="36">D61*$H$386</f>
        <v>483693046.07925266</v>
      </c>
      <c r="G61" s="98">
        <f t="shared" ref="G61:G68" si="37">F61+E61</f>
        <v>1183693046.0792527</v>
      </c>
      <c r="H61" s="98">
        <f t="shared" si="33"/>
        <v>1133293046.0792527</v>
      </c>
      <c r="I61" s="97">
        <v>50400000</v>
      </c>
      <c r="J61" s="63"/>
      <c r="K61" s="63"/>
      <c r="L61" s="63"/>
      <c r="M61" s="63"/>
    </row>
    <row r="62" spans="2:13" ht="9.75" x14ac:dyDescent="0.1">
      <c r="B62" s="94">
        <v>30202</v>
      </c>
      <c r="C62" s="95" t="s">
        <v>3866</v>
      </c>
      <c r="D62" s="96">
        <v>18289</v>
      </c>
      <c r="E62" s="97">
        <v>700000000</v>
      </c>
      <c r="F62" s="96">
        <f t="shared" si="36"/>
        <v>212829595.08585232</v>
      </c>
      <c r="G62" s="98">
        <f t="shared" si="37"/>
        <v>912829595.08585238</v>
      </c>
      <c r="H62" s="98">
        <f t="shared" si="33"/>
        <v>862429595.08585238</v>
      </c>
      <c r="I62" s="97">
        <v>50400000</v>
      </c>
      <c r="J62" s="63"/>
      <c r="K62" s="63"/>
      <c r="L62" s="63"/>
      <c r="M62" s="63"/>
    </row>
    <row r="63" spans="2:13" ht="9.75" x14ac:dyDescent="0.1">
      <c r="B63" s="94">
        <v>30203</v>
      </c>
      <c r="C63" s="95" t="s">
        <v>3867</v>
      </c>
      <c r="D63" s="96">
        <v>41363</v>
      </c>
      <c r="E63" s="97">
        <v>700000000</v>
      </c>
      <c r="F63" s="96">
        <f t="shared" si="36"/>
        <v>481342366.53376949</v>
      </c>
      <c r="G63" s="98">
        <f t="shared" si="37"/>
        <v>1181342366.5337696</v>
      </c>
      <c r="H63" s="98">
        <f t="shared" si="33"/>
        <v>1130942366.5337696</v>
      </c>
      <c r="I63" s="97">
        <v>50400000</v>
      </c>
      <c r="J63" s="63"/>
      <c r="K63" s="63"/>
      <c r="L63" s="63"/>
      <c r="M63" s="63"/>
    </row>
    <row r="64" spans="2:13" ht="9.75" x14ac:dyDescent="0.1">
      <c r="B64" s="94">
        <v>30204</v>
      </c>
      <c r="C64" s="95" t="s">
        <v>3868</v>
      </c>
      <c r="D64" s="96">
        <v>57928</v>
      </c>
      <c r="E64" s="97">
        <v>700000000</v>
      </c>
      <c r="F64" s="96">
        <f t="shared" si="36"/>
        <v>674109726.29084444</v>
      </c>
      <c r="G64" s="98">
        <f t="shared" si="37"/>
        <v>1374109726.2908444</v>
      </c>
      <c r="H64" s="98">
        <f t="shared" si="33"/>
        <v>1323709726.2908444</v>
      </c>
      <c r="I64" s="97">
        <v>50400000</v>
      </c>
      <c r="J64" s="63"/>
      <c r="K64" s="63"/>
      <c r="L64" s="63"/>
      <c r="M64" s="63"/>
    </row>
    <row r="65" spans="2:13" ht="9.75" x14ac:dyDescent="0.1">
      <c r="B65" s="94">
        <v>30205</v>
      </c>
      <c r="C65" s="95" t="s">
        <v>3869</v>
      </c>
      <c r="D65" s="96">
        <v>15551</v>
      </c>
      <c r="E65" s="97">
        <v>700000000</v>
      </c>
      <c r="F65" s="96">
        <f t="shared" si="36"/>
        <v>180967413.91984743</v>
      </c>
      <c r="G65" s="98">
        <f t="shared" si="37"/>
        <v>880967413.91984749</v>
      </c>
      <c r="H65" s="98">
        <f t="shared" si="33"/>
        <v>830567413.91984749</v>
      </c>
      <c r="I65" s="97">
        <v>50400000</v>
      </c>
      <c r="J65" s="63"/>
      <c r="K65" s="63"/>
      <c r="L65" s="63"/>
      <c r="M65" s="63"/>
    </row>
    <row r="66" spans="2:13" ht="9.75" x14ac:dyDescent="0.1">
      <c r="B66" s="94">
        <v>30206</v>
      </c>
      <c r="C66" s="95" t="s">
        <v>3870</v>
      </c>
      <c r="D66" s="96">
        <v>39288</v>
      </c>
      <c r="E66" s="97">
        <v>700000000</v>
      </c>
      <c r="F66" s="96">
        <f t="shared" si="36"/>
        <v>457195534.56902874</v>
      </c>
      <c r="G66" s="98">
        <f t="shared" si="37"/>
        <v>1157195534.5690289</v>
      </c>
      <c r="H66" s="98">
        <f t="shared" si="33"/>
        <v>1106795534.5690289</v>
      </c>
      <c r="I66" s="97">
        <v>50400000</v>
      </c>
      <c r="J66" s="63"/>
      <c r="K66" s="63"/>
      <c r="L66" s="63"/>
      <c r="M66" s="63"/>
    </row>
    <row r="67" spans="2:13" ht="9.75" x14ac:dyDescent="0.1">
      <c r="B67" s="94">
        <v>30207</v>
      </c>
      <c r="C67" s="95" t="s">
        <v>3871</v>
      </c>
      <c r="D67" s="96">
        <v>11190</v>
      </c>
      <c r="E67" s="97">
        <v>700000000</v>
      </c>
      <c r="F67" s="96">
        <f t="shared" si="36"/>
        <v>130218337.19780675</v>
      </c>
      <c r="G67" s="98">
        <f t="shared" si="37"/>
        <v>830218337.19780672</v>
      </c>
      <c r="H67" s="98">
        <f t="shared" si="33"/>
        <v>779818337.19780672</v>
      </c>
      <c r="I67" s="97">
        <v>50400000</v>
      </c>
      <c r="J67" s="63"/>
      <c r="K67" s="63"/>
      <c r="L67" s="63"/>
      <c r="M67" s="63"/>
    </row>
    <row r="68" spans="2:13" ht="9.75" x14ac:dyDescent="0.1">
      <c r="B68" s="94">
        <v>30208</v>
      </c>
      <c r="C68" s="95" t="s">
        <v>3872</v>
      </c>
      <c r="D68" s="96">
        <v>16177</v>
      </c>
      <c r="E68" s="97">
        <v>700000000</v>
      </c>
      <c r="F68" s="96">
        <f t="shared" si="36"/>
        <v>188252193.10535476</v>
      </c>
      <c r="G68" s="98">
        <f t="shared" si="37"/>
        <v>888252193.10535479</v>
      </c>
      <c r="H68" s="98">
        <f t="shared" si="33"/>
        <v>837852193.10535479</v>
      </c>
      <c r="I68" s="97">
        <v>50400000</v>
      </c>
      <c r="J68" s="63"/>
      <c r="K68" s="63"/>
      <c r="L68" s="63"/>
      <c r="M68" s="63"/>
    </row>
    <row r="69" spans="2:13" ht="9.75" x14ac:dyDescent="0.1">
      <c r="B69" s="91"/>
      <c r="C69" s="92" t="s">
        <v>3873</v>
      </c>
      <c r="D69" s="93">
        <f t="shared" ref="D69" si="38">SUM(D70:D81)</f>
        <v>344273</v>
      </c>
      <c r="E69" s="93">
        <f>SUM(E70:E81)</f>
        <v>8400000000</v>
      </c>
      <c r="F69" s="93">
        <f>SUM(F70:F81)</f>
        <v>4006314352.2878032</v>
      </c>
      <c r="G69" s="93">
        <f>SUM(G70:G81)</f>
        <v>12406314352.287802</v>
      </c>
      <c r="H69" s="93">
        <f t="shared" ref="H69:I69" si="39">SUM(H70:H81)</f>
        <v>11801514352.287804</v>
      </c>
      <c r="I69" s="93">
        <f t="shared" si="39"/>
        <v>604800000</v>
      </c>
      <c r="J69" s="63"/>
      <c r="K69" s="63"/>
      <c r="L69" s="63"/>
      <c r="M69" s="63"/>
    </row>
    <row r="70" spans="2:13" ht="9.75" x14ac:dyDescent="0.1">
      <c r="B70" s="94">
        <v>30301</v>
      </c>
      <c r="C70" s="95" t="s">
        <v>3874</v>
      </c>
      <c r="D70" s="96">
        <v>45020</v>
      </c>
      <c r="E70" s="97">
        <v>700000000</v>
      </c>
      <c r="F70" s="96">
        <f t="shared" ref="F70:F81" si="40">D70*$H$386</f>
        <v>523898975.92897761</v>
      </c>
      <c r="G70" s="98">
        <f t="shared" ref="G70:G81" si="41">F70+E70</f>
        <v>1223898975.9289775</v>
      </c>
      <c r="H70" s="98">
        <f t="shared" ref="H70:H81" si="42">G70-I70</f>
        <v>1173498975.9289775</v>
      </c>
      <c r="I70" s="97">
        <v>50400000</v>
      </c>
      <c r="J70" s="63"/>
      <c r="K70" s="63"/>
      <c r="L70" s="63"/>
      <c r="M70" s="63"/>
    </row>
    <row r="71" spans="2:13" ht="9.75" x14ac:dyDescent="0.1">
      <c r="B71" s="94">
        <v>30302</v>
      </c>
      <c r="C71" s="95" t="s">
        <v>3875</v>
      </c>
      <c r="D71" s="96">
        <v>20437</v>
      </c>
      <c r="E71" s="97">
        <v>700000000</v>
      </c>
      <c r="F71" s="96">
        <f t="shared" si="40"/>
        <v>237825930.05465385</v>
      </c>
      <c r="G71" s="98">
        <f t="shared" si="41"/>
        <v>937825930.05465388</v>
      </c>
      <c r="H71" s="98">
        <f t="shared" si="42"/>
        <v>887425930.05465388</v>
      </c>
      <c r="I71" s="97">
        <v>50400000</v>
      </c>
      <c r="J71" s="63"/>
      <c r="K71" s="63"/>
      <c r="L71" s="63"/>
      <c r="M71" s="63"/>
    </row>
    <row r="72" spans="2:13" ht="9.75" x14ac:dyDescent="0.1">
      <c r="B72" s="94">
        <v>30303</v>
      </c>
      <c r="C72" s="95" t="s">
        <v>3876</v>
      </c>
      <c r="D72" s="96">
        <v>95754</v>
      </c>
      <c r="E72" s="97">
        <v>700000000</v>
      </c>
      <c r="F72" s="96">
        <f t="shared" si="40"/>
        <v>1114291926.7237523</v>
      </c>
      <c r="G72" s="98">
        <f t="shared" si="41"/>
        <v>1814291926.7237523</v>
      </c>
      <c r="H72" s="98">
        <f t="shared" si="42"/>
        <v>1763891926.7237523</v>
      </c>
      <c r="I72" s="97">
        <v>50400000</v>
      </c>
      <c r="J72" s="63"/>
      <c r="K72" s="63"/>
      <c r="L72" s="63"/>
      <c r="M72" s="63"/>
    </row>
    <row r="73" spans="2:13" ht="9.75" x14ac:dyDescent="0.1">
      <c r="B73" s="94">
        <v>30304</v>
      </c>
      <c r="C73" s="95" t="s">
        <v>3877</v>
      </c>
      <c r="D73" s="96">
        <v>17994</v>
      </c>
      <c r="E73" s="97">
        <v>700000000</v>
      </c>
      <c r="F73" s="96">
        <f t="shared" si="40"/>
        <v>209396671.98725063</v>
      </c>
      <c r="G73" s="98">
        <f t="shared" si="41"/>
        <v>909396671.98725057</v>
      </c>
      <c r="H73" s="98">
        <f t="shared" si="42"/>
        <v>858996671.98725057</v>
      </c>
      <c r="I73" s="97">
        <v>50400000</v>
      </c>
      <c r="J73" s="63"/>
      <c r="K73" s="63"/>
      <c r="L73" s="63"/>
      <c r="M73" s="63"/>
    </row>
    <row r="74" spans="2:13" ht="9.75" x14ac:dyDescent="0.1">
      <c r="B74" s="94">
        <v>30305</v>
      </c>
      <c r="C74" s="95" t="s">
        <v>3878</v>
      </c>
      <c r="D74" s="96">
        <v>16072</v>
      </c>
      <c r="E74" s="97">
        <v>700000000</v>
      </c>
      <c r="F74" s="96">
        <f t="shared" si="40"/>
        <v>187030305.2228016</v>
      </c>
      <c r="G74" s="98">
        <f t="shared" si="41"/>
        <v>887030305.22280157</v>
      </c>
      <c r="H74" s="98">
        <f t="shared" si="42"/>
        <v>836630305.22280157</v>
      </c>
      <c r="I74" s="97">
        <v>50400000</v>
      </c>
      <c r="J74" s="63"/>
      <c r="K74" s="63"/>
      <c r="L74" s="63"/>
      <c r="M74" s="63"/>
    </row>
    <row r="75" spans="2:13" ht="9.75" x14ac:dyDescent="0.1">
      <c r="B75" s="94">
        <v>30306</v>
      </c>
      <c r="C75" s="95" t="s">
        <v>3879</v>
      </c>
      <c r="D75" s="96">
        <v>17093</v>
      </c>
      <c r="E75" s="97">
        <v>700000000</v>
      </c>
      <c r="F75" s="96">
        <f t="shared" si="40"/>
        <v>198911710.25219935</v>
      </c>
      <c r="G75" s="98">
        <f t="shared" si="41"/>
        <v>898911710.25219941</v>
      </c>
      <c r="H75" s="98">
        <f t="shared" si="42"/>
        <v>848511710.25219941</v>
      </c>
      <c r="I75" s="97">
        <v>50400000</v>
      </c>
      <c r="J75" s="63"/>
      <c r="K75" s="63"/>
      <c r="L75" s="63"/>
      <c r="M75" s="63"/>
    </row>
    <row r="76" spans="2:13" ht="9.75" x14ac:dyDescent="0.1">
      <c r="B76" s="94">
        <v>30307</v>
      </c>
      <c r="C76" s="95" t="s">
        <v>3880</v>
      </c>
      <c r="D76" s="96">
        <v>40119</v>
      </c>
      <c r="E76" s="97">
        <v>700000000</v>
      </c>
      <c r="F76" s="96">
        <f t="shared" si="40"/>
        <v>466865904.38237792</v>
      </c>
      <c r="G76" s="98">
        <f t="shared" si="41"/>
        <v>1166865904.3823779</v>
      </c>
      <c r="H76" s="98">
        <f t="shared" si="42"/>
        <v>1116465904.3823779</v>
      </c>
      <c r="I76" s="97">
        <v>50400000</v>
      </c>
      <c r="J76" s="63"/>
      <c r="K76" s="63"/>
      <c r="L76" s="63"/>
      <c r="M76" s="63"/>
    </row>
    <row r="77" spans="2:13" ht="9.75" x14ac:dyDescent="0.1">
      <c r="B77" s="94">
        <v>30308</v>
      </c>
      <c r="C77" s="95" t="s">
        <v>3881</v>
      </c>
      <c r="D77" s="96">
        <v>24409</v>
      </c>
      <c r="E77" s="97">
        <v>700000000</v>
      </c>
      <c r="F77" s="96">
        <f t="shared" si="40"/>
        <v>284048203.09752142</v>
      </c>
      <c r="G77" s="98">
        <f t="shared" si="41"/>
        <v>984048203.09752142</v>
      </c>
      <c r="H77" s="98">
        <f t="shared" si="42"/>
        <v>933648203.09752142</v>
      </c>
      <c r="I77" s="97">
        <v>50400000</v>
      </c>
      <c r="J77" s="63"/>
      <c r="K77" s="63"/>
      <c r="L77" s="63"/>
      <c r="M77" s="63"/>
    </row>
    <row r="78" spans="2:13" ht="9.75" x14ac:dyDescent="0.1">
      <c r="B78" s="94">
        <v>30309</v>
      </c>
      <c r="C78" s="95" t="s">
        <v>3882</v>
      </c>
      <c r="D78" s="96">
        <v>21601</v>
      </c>
      <c r="E78" s="97">
        <v>700000000</v>
      </c>
      <c r="F78" s="96">
        <f t="shared" si="40"/>
        <v>251371430.00981444</v>
      </c>
      <c r="G78" s="98">
        <f t="shared" si="41"/>
        <v>951371430.0098145</v>
      </c>
      <c r="H78" s="98">
        <f t="shared" si="42"/>
        <v>900971430.0098145</v>
      </c>
      <c r="I78" s="97">
        <v>50400000</v>
      </c>
      <c r="J78" s="63"/>
      <c r="K78" s="63"/>
      <c r="L78" s="63"/>
      <c r="M78" s="63"/>
    </row>
    <row r="79" spans="2:13" ht="9.75" x14ac:dyDescent="0.1">
      <c r="B79" s="94">
        <v>30310</v>
      </c>
      <c r="C79" s="95" t="s">
        <v>3883</v>
      </c>
      <c r="D79" s="96">
        <v>16381</v>
      </c>
      <c r="E79" s="97">
        <v>700000000</v>
      </c>
      <c r="F79" s="96">
        <f t="shared" si="40"/>
        <v>190626146.70574373</v>
      </c>
      <c r="G79" s="98">
        <f t="shared" si="41"/>
        <v>890626146.70574379</v>
      </c>
      <c r="H79" s="98">
        <f t="shared" si="42"/>
        <v>840226146.70574379</v>
      </c>
      <c r="I79" s="97">
        <v>50400000</v>
      </c>
      <c r="J79" s="63"/>
      <c r="K79" s="63"/>
      <c r="L79" s="63"/>
      <c r="M79" s="63"/>
    </row>
    <row r="80" spans="2:13" ht="9.75" x14ac:dyDescent="0.1">
      <c r="B80" s="94">
        <v>30311</v>
      </c>
      <c r="C80" s="95" t="s">
        <v>3884</v>
      </c>
      <c r="D80" s="96">
        <v>6176</v>
      </c>
      <c r="E80" s="97">
        <v>700000000</v>
      </c>
      <c r="F80" s="96">
        <f t="shared" si="40"/>
        <v>71870281.549030781</v>
      </c>
      <c r="G80" s="98">
        <f t="shared" si="41"/>
        <v>771870281.54903078</v>
      </c>
      <c r="H80" s="98">
        <f t="shared" si="42"/>
        <v>721470281.54903078</v>
      </c>
      <c r="I80" s="97">
        <v>50400000</v>
      </c>
      <c r="J80" s="63"/>
      <c r="K80" s="63"/>
      <c r="L80" s="63"/>
      <c r="M80" s="63"/>
    </row>
    <row r="81" spans="2:13" ht="9.75" x14ac:dyDescent="0.1">
      <c r="B81" s="94">
        <v>30312</v>
      </c>
      <c r="C81" s="95" t="s">
        <v>3885</v>
      </c>
      <c r="D81" s="96">
        <v>23217</v>
      </c>
      <c r="E81" s="97">
        <v>700000000</v>
      </c>
      <c r="F81" s="96">
        <f t="shared" si="40"/>
        <v>270176866.37368</v>
      </c>
      <c r="G81" s="98">
        <f t="shared" si="41"/>
        <v>970176866.37368</v>
      </c>
      <c r="H81" s="98">
        <f t="shared" si="42"/>
        <v>919776866.37368</v>
      </c>
      <c r="I81" s="97">
        <v>50400000</v>
      </c>
      <c r="J81" s="63"/>
      <c r="K81" s="63"/>
      <c r="L81" s="63"/>
      <c r="M81" s="63"/>
    </row>
    <row r="82" spans="2:13" ht="9.75" x14ac:dyDescent="0.1">
      <c r="B82" s="91"/>
      <c r="C82" s="92" t="s">
        <v>3886</v>
      </c>
      <c r="D82" s="93">
        <f t="shared" ref="D82" si="43">SUM(D83:D95)</f>
        <v>348095</v>
      </c>
      <c r="E82" s="93">
        <f>SUM(E83:E95)</f>
        <v>9100000000</v>
      </c>
      <c r="F82" s="93">
        <f>SUM(F83:F95)</f>
        <v>4050791071.2127385</v>
      </c>
      <c r="G82" s="93">
        <f>SUM(G83:G95)</f>
        <v>13150791071.212736</v>
      </c>
      <c r="H82" s="93">
        <f t="shared" ref="H82:I82" si="44">SUM(H83:H95)</f>
        <v>12495591071.212736</v>
      </c>
      <c r="I82" s="93">
        <f t="shared" si="44"/>
        <v>655200000</v>
      </c>
      <c r="J82" s="63"/>
      <c r="K82" s="63"/>
      <c r="L82" s="63"/>
      <c r="M82" s="63"/>
    </row>
    <row r="83" spans="2:13" ht="9.75" x14ac:dyDescent="0.1">
      <c r="B83" s="94">
        <v>30401</v>
      </c>
      <c r="C83" s="95" t="s">
        <v>3887</v>
      </c>
      <c r="D83" s="96">
        <v>20724</v>
      </c>
      <c r="E83" s="97">
        <v>700000000</v>
      </c>
      <c r="F83" s="96">
        <f t="shared" ref="F83:F95" si="45">D83*$H$386</f>
        <v>241165756.93363243</v>
      </c>
      <c r="G83" s="98">
        <f t="shared" ref="G83:G95" si="46">F83+E83</f>
        <v>941165756.93363237</v>
      </c>
      <c r="H83" s="98">
        <f t="shared" ref="H83:H95" si="47">G83-I83</f>
        <v>890765756.93363237</v>
      </c>
      <c r="I83" s="97">
        <v>50400000</v>
      </c>
      <c r="J83" s="63"/>
      <c r="K83" s="63"/>
      <c r="L83" s="63"/>
      <c r="M83" s="63"/>
    </row>
    <row r="84" spans="2:13" ht="9.75" x14ac:dyDescent="0.1">
      <c r="B84" s="94">
        <v>30402</v>
      </c>
      <c r="C84" s="95" t="s">
        <v>3888</v>
      </c>
      <c r="D84" s="96">
        <v>10866</v>
      </c>
      <c r="E84" s="97">
        <v>700000000</v>
      </c>
      <c r="F84" s="96">
        <f t="shared" si="45"/>
        <v>126447940.30307132</v>
      </c>
      <c r="G84" s="98">
        <f t="shared" si="46"/>
        <v>826447940.30307126</v>
      </c>
      <c r="H84" s="98">
        <f t="shared" si="47"/>
        <v>776047940.30307126</v>
      </c>
      <c r="I84" s="97">
        <v>50400000</v>
      </c>
      <c r="J84" s="63"/>
      <c r="K84" s="63"/>
      <c r="L84" s="63"/>
      <c r="M84" s="63"/>
    </row>
    <row r="85" spans="2:13" ht="9.75" x14ac:dyDescent="0.1">
      <c r="B85" s="94">
        <v>30403</v>
      </c>
      <c r="C85" s="95" t="s">
        <v>3889</v>
      </c>
      <c r="D85" s="96">
        <v>11939</v>
      </c>
      <c r="E85" s="97">
        <v>700000000</v>
      </c>
      <c r="F85" s="96">
        <f t="shared" si="45"/>
        <v>138934470.76001918</v>
      </c>
      <c r="G85" s="98">
        <f t="shared" si="46"/>
        <v>838934470.76001918</v>
      </c>
      <c r="H85" s="98">
        <f t="shared" si="47"/>
        <v>788534470.76001918</v>
      </c>
      <c r="I85" s="97">
        <v>50400000</v>
      </c>
      <c r="J85" s="63"/>
      <c r="K85" s="63"/>
      <c r="L85" s="63"/>
      <c r="M85" s="63"/>
    </row>
    <row r="86" spans="2:13" ht="9.75" x14ac:dyDescent="0.1">
      <c r="B86" s="94">
        <v>30404</v>
      </c>
      <c r="C86" s="95" t="s">
        <v>3875</v>
      </c>
      <c r="D86" s="96">
        <v>18126</v>
      </c>
      <c r="E86" s="97">
        <v>700000000</v>
      </c>
      <c r="F86" s="96">
        <f t="shared" si="45"/>
        <v>210932759.61103174</v>
      </c>
      <c r="G86" s="98">
        <f t="shared" si="46"/>
        <v>910932759.61103177</v>
      </c>
      <c r="H86" s="98">
        <f t="shared" si="47"/>
        <v>860532759.61103177</v>
      </c>
      <c r="I86" s="97">
        <v>50400000</v>
      </c>
      <c r="J86" s="63"/>
      <c r="K86" s="63"/>
      <c r="L86" s="63"/>
      <c r="M86" s="63"/>
    </row>
    <row r="87" spans="2:13" ht="9.75" x14ac:dyDescent="0.1">
      <c r="B87" s="94">
        <v>30405</v>
      </c>
      <c r="C87" s="95" t="s">
        <v>3890</v>
      </c>
      <c r="D87" s="96">
        <v>24025</v>
      </c>
      <c r="E87" s="97">
        <v>700000000</v>
      </c>
      <c r="F87" s="96">
        <f t="shared" si="45"/>
        <v>279579584.5556128</v>
      </c>
      <c r="G87" s="98">
        <f t="shared" si="46"/>
        <v>979579584.5556128</v>
      </c>
      <c r="H87" s="98">
        <f t="shared" si="47"/>
        <v>929179584.5556128</v>
      </c>
      <c r="I87" s="97">
        <v>50400000</v>
      </c>
      <c r="J87" s="63"/>
      <c r="K87" s="63"/>
      <c r="L87" s="63"/>
      <c r="M87" s="63"/>
    </row>
    <row r="88" spans="2:13" ht="9.75" x14ac:dyDescent="0.1">
      <c r="B88" s="94">
        <v>30406</v>
      </c>
      <c r="C88" s="95" t="s">
        <v>3891</v>
      </c>
      <c r="D88" s="96">
        <v>13954</v>
      </c>
      <c r="E88" s="97">
        <v>700000000</v>
      </c>
      <c r="F88" s="96">
        <f t="shared" si="45"/>
        <v>162383081.07758671</v>
      </c>
      <c r="G88" s="98">
        <f t="shared" si="46"/>
        <v>862383081.07758665</v>
      </c>
      <c r="H88" s="98">
        <f t="shared" si="47"/>
        <v>811983081.07758665</v>
      </c>
      <c r="I88" s="97">
        <v>50400000</v>
      </c>
      <c r="J88" s="63"/>
      <c r="K88" s="63"/>
      <c r="L88" s="63"/>
      <c r="M88" s="63"/>
    </row>
    <row r="89" spans="2:13" ht="9.75" x14ac:dyDescent="0.1">
      <c r="B89" s="94">
        <v>30407</v>
      </c>
      <c r="C89" s="95" t="s">
        <v>3892</v>
      </c>
      <c r="D89" s="96">
        <v>17041</v>
      </c>
      <c r="E89" s="97">
        <v>700000000</v>
      </c>
      <c r="F89" s="96">
        <f t="shared" si="45"/>
        <v>198306584.82464921</v>
      </c>
      <c r="G89" s="98">
        <f t="shared" si="46"/>
        <v>898306584.82464921</v>
      </c>
      <c r="H89" s="98">
        <f t="shared" si="47"/>
        <v>847906584.82464921</v>
      </c>
      <c r="I89" s="97">
        <v>50400000</v>
      </c>
      <c r="J89" s="63"/>
      <c r="K89" s="63"/>
      <c r="L89" s="63"/>
      <c r="M89" s="63"/>
    </row>
    <row r="90" spans="2:13" ht="9.75" x14ac:dyDescent="0.1">
      <c r="B90" s="94">
        <v>30408</v>
      </c>
      <c r="C90" s="95" t="s">
        <v>3893</v>
      </c>
      <c r="D90" s="96">
        <v>126349</v>
      </c>
      <c r="E90" s="97">
        <v>700000000</v>
      </c>
      <c r="F90" s="96">
        <f t="shared" si="45"/>
        <v>1470326781.6448333</v>
      </c>
      <c r="G90" s="98">
        <f t="shared" si="46"/>
        <v>2170326781.6448336</v>
      </c>
      <c r="H90" s="98">
        <f t="shared" si="47"/>
        <v>2119926781.6448336</v>
      </c>
      <c r="I90" s="97">
        <v>50400000</v>
      </c>
      <c r="J90" s="63"/>
      <c r="K90" s="63"/>
      <c r="L90" s="63"/>
      <c r="M90" s="63"/>
    </row>
    <row r="91" spans="2:13" ht="9.75" x14ac:dyDescent="0.1">
      <c r="B91" s="94">
        <v>30409</v>
      </c>
      <c r="C91" s="95" t="s">
        <v>3894</v>
      </c>
      <c r="D91" s="96">
        <v>18458</v>
      </c>
      <c r="E91" s="97">
        <v>700000000</v>
      </c>
      <c r="F91" s="96">
        <f t="shared" si="45"/>
        <v>214796252.72539026</v>
      </c>
      <c r="G91" s="98">
        <f t="shared" si="46"/>
        <v>914796252.7253902</v>
      </c>
      <c r="H91" s="98">
        <f t="shared" si="47"/>
        <v>864396252.7253902</v>
      </c>
      <c r="I91" s="97">
        <v>50400000</v>
      </c>
      <c r="J91" s="63"/>
      <c r="K91" s="63"/>
      <c r="L91" s="63"/>
      <c r="M91" s="63"/>
    </row>
    <row r="92" spans="2:13" ht="9.75" x14ac:dyDescent="0.1">
      <c r="B92" s="94">
        <v>30410</v>
      </c>
      <c r="C92" s="95" t="s">
        <v>3895</v>
      </c>
      <c r="D92" s="96">
        <v>17169</v>
      </c>
      <c r="E92" s="97">
        <v>700000000</v>
      </c>
      <c r="F92" s="96">
        <f t="shared" si="45"/>
        <v>199796124.33861876</v>
      </c>
      <c r="G92" s="98">
        <f t="shared" si="46"/>
        <v>899796124.33861876</v>
      </c>
      <c r="H92" s="98">
        <f t="shared" si="47"/>
        <v>849396124.33861876</v>
      </c>
      <c r="I92" s="97">
        <v>50400000</v>
      </c>
      <c r="J92" s="63"/>
      <c r="K92" s="63"/>
      <c r="L92" s="63"/>
      <c r="M92" s="63"/>
    </row>
    <row r="93" spans="2:13" ht="9.75" x14ac:dyDescent="0.1">
      <c r="B93" s="94">
        <v>30411</v>
      </c>
      <c r="C93" s="95" t="s">
        <v>3896</v>
      </c>
      <c r="D93" s="96">
        <v>26967</v>
      </c>
      <c r="E93" s="97">
        <v>700000000</v>
      </c>
      <c r="F93" s="96">
        <f t="shared" si="45"/>
        <v>313815719.32200664</v>
      </c>
      <c r="G93" s="98">
        <f t="shared" si="46"/>
        <v>1013815719.3220067</v>
      </c>
      <c r="H93" s="98">
        <f t="shared" si="47"/>
        <v>963415719.3220067</v>
      </c>
      <c r="I93" s="97">
        <v>50400000</v>
      </c>
      <c r="J93" s="63"/>
      <c r="K93" s="63"/>
      <c r="L93" s="63"/>
      <c r="M93" s="63"/>
    </row>
    <row r="94" spans="2:13" ht="9.75" x14ac:dyDescent="0.1">
      <c r="B94" s="94">
        <v>30412</v>
      </c>
      <c r="C94" s="95" t="s">
        <v>3897</v>
      </c>
      <c r="D94" s="96">
        <v>24936</v>
      </c>
      <c r="E94" s="97">
        <v>700000000</v>
      </c>
      <c r="F94" s="96">
        <f t="shared" si="45"/>
        <v>290180916.56519294</v>
      </c>
      <c r="G94" s="98">
        <f t="shared" si="46"/>
        <v>990180916.56519294</v>
      </c>
      <c r="H94" s="98">
        <f t="shared" si="47"/>
        <v>939780916.56519294</v>
      </c>
      <c r="I94" s="97">
        <v>50400000</v>
      </c>
      <c r="J94" s="63"/>
      <c r="K94" s="63"/>
      <c r="L94" s="63"/>
      <c r="M94" s="63"/>
    </row>
    <row r="95" spans="2:13" ht="9.75" x14ac:dyDescent="0.1">
      <c r="B95" s="94">
        <v>30413</v>
      </c>
      <c r="C95" s="95" t="s">
        <v>3898</v>
      </c>
      <c r="D95" s="96">
        <v>17541</v>
      </c>
      <c r="E95" s="97">
        <v>700000000</v>
      </c>
      <c r="F95" s="96">
        <f t="shared" si="45"/>
        <v>204125098.55109277</v>
      </c>
      <c r="G95" s="98">
        <f t="shared" si="46"/>
        <v>904125098.55109274</v>
      </c>
      <c r="H95" s="98">
        <f t="shared" si="47"/>
        <v>853725098.55109274</v>
      </c>
      <c r="I95" s="97">
        <v>50400000</v>
      </c>
      <c r="J95" s="63"/>
      <c r="K95" s="63"/>
      <c r="L95" s="63"/>
      <c r="M95" s="63"/>
    </row>
    <row r="96" spans="2:13" ht="9.75" x14ac:dyDescent="0.1">
      <c r="B96" s="88"/>
      <c r="C96" s="89" t="s">
        <v>3899</v>
      </c>
      <c r="D96" s="90">
        <f t="shared" ref="D96" si="48">D97+D111+D120+D133+D146</f>
        <v>2409873</v>
      </c>
      <c r="E96" s="90">
        <f>E97+E111+E120+E133+E146</f>
        <v>40600000000</v>
      </c>
      <c r="F96" s="90">
        <f>F97+F111+F120+F133+F146</f>
        <v>28043758258.971413</v>
      </c>
      <c r="G96" s="90">
        <f>G97+G111+G120+G133+G146</f>
        <v>68643758258.97142</v>
      </c>
      <c r="H96" s="90">
        <f t="shared" ref="H96:I96" si="49">H97+H111+H120+H133+H146</f>
        <v>65720558258.97142</v>
      </c>
      <c r="I96" s="90">
        <f t="shared" si="49"/>
        <v>2923200000</v>
      </c>
      <c r="J96" s="63"/>
      <c r="K96" s="63"/>
      <c r="L96" s="63"/>
      <c r="M96" s="63"/>
    </row>
    <row r="97" spans="2:13" ht="9.75" x14ac:dyDescent="0.1">
      <c r="B97" s="91"/>
      <c r="C97" s="92" t="s">
        <v>3900</v>
      </c>
      <c r="D97" s="93">
        <f t="shared" ref="D97" si="50">SUM(D98:D110)</f>
        <v>579501</v>
      </c>
      <c r="E97" s="93">
        <f t="shared" ref="E97:I97" si="51">SUM(E98:E110)</f>
        <v>9100000000</v>
      </c>
      <c r="F97" s="93">
        <f t="shared" si="51"/>
        <v>6743669045.9755325</v>
      </c>
      <c r="G97" s="93">
        <f t="shared" si="51"/>
        <v>15843669045.975533</v>
      </c>
      <c r="H97" s="93">
        <f t="shared" si="51"/>
        <v>15188469045.975533</v>
      </c>
      <c r="I97" s="93">
        <f t="shared" si="51"/>
        <v>655200000</v>
      </c>
      <c r="J97" s="63"/>
      <c r="K97" s="63"/>
      <c r="L97" s="63"/>
      <c r="M97" s="63"/>
    </row>
    <row r="98" spans="2:13" ht="9.75" x14ac:dyDescent="0.1">
      <c r="B98" s="94">
        <v>40101</v>
      </c>
      <c r="C98" s="95" t="s">
        <v>3901</v>
      </c>
      <c r="D98" s="96">
        <v>32408</v>
      </c>
      <c r="E98" s="97">
        <v>700000000</v>
      </c>
      <c r="F98" s="96">
        <f t="shared" ref="F98:F110" si="52">D98*$H$386</f>
        <v>377132785.69316542</v>
      </c>
      <c r="G98" s="98">
        <f t="shared" ref="G98:G110" si="53">F98+E98</f>
        <v>1077132785.6931653</v>
      </c>
      <c r="H98" s="98">
        <f t="shared" ref="H98:H110" si="54">G98-I98</f>
        <v>1026732785.6931653</v>
      </c>
      <c r="I98" s="97">
        <v>50400000</v>
      </c>
      <c r="J98" s="63"/>
      <c r="K98" s="63"/>
      <c r="L98" s="63"/>
      <c r="M98" s="63"/>
    </row>
    <row r="99" spans="2:13" ht="9.75" x14ac:dyDescent="0.1">
      <c r="B99" s="94">
        <v>40102</v>
      </c>
      <c r="C99" s="95" t="s">
        <v>3902</v>
      </c>
      <c r="D99" s="96">
        <v>58947</v>
      </c>
      <c r="E99" s="97">
        <v>700000000</v>
      </c>
      <c r="F99" s="96">
        <f t="shared" si="52"/>
        <v>685967857.26533639</v>
      </c>
      <c r="G99" s="98">
        <f t="shared" si="53"/>
        <v>1385967857.2653365</v>
      </c>
      <c r="H99" s="98">
        <f t="shared" si="54"/>
        <v>1335567857.2653365</v>
      </c>
      <c r="I99" s="97">
        <v>50400000</v>
      </c>
      <c r="J99" s="63"/>
      <c r="K99" s="63"/>
      <c r="L99" s="63"/>
      <c r="M99" s="63"/>
    </row>
    <row r="100" spans="2:13" ht="9.75" x14ac:dyDescent="0.1">
      <c r="B100" s="94">
        <v>40103</v>
      </c>
      <c r="C100" s="95" t="s">
        <v>3903</v>
      </c>
      <c r="D100" s="96">
        <v>19293</v>
      </c>
      <c r="E100" s="97">
        <v>700000000</v>
      </c>
      <c r="F100" s="96">
        <f t="shared" si="52"/>
        <v>224513170.64855099</v>
      </c>
      <c r="G100" s="98">
        <f t="shared" si="53"/>
        <v>924513170.64855099</v>
      </c>
      <c r="H100" s="98">
        <f t="shared" si="54"/>
        <v>874113170.64855099</v>
      </c>
      <c r="I100" s="97">
        <v>50400000</v>
      </c>
      <c r="J100" s="63"/>
      <c r="K100" s="63"/>
      <c r="L100" s="63"/>
      <c r="M100" s="63"/>
    </row>
    <row r="101" spans="2:13" ht="9.75" x14ac:dyDescent="0.1">
      <c r="B101" s="94">
        <v>40104</v>
      </c>
      <c r="C101" s="95" t="s">
        <v>3904</v>
      </c>
      <c r="D101" s="96">
        <v>21838</v>
      </c>
      <c r="E101" s="97">
        <v>700000000</v>
      </c>
      <c r="F101" s="96">
        <f t="shared" si="52"/>
        <v>254129405.51614869</v>
      </c>
      <c r="G101" s="98">
        <f t="shared" si="53"/>
        <v>954129405.51614869</v>
      </c>
      <c r="H101" s="98">
        <f t="shared" si="54"/>
        <v>903729405.51614869</v>
      </c>
      <c r="I101" s="97">
        <v>50400000</v>
      </c>
      <c r="J101" s="63"/>
      <c r="K101" s="63"/>
      <c r="L101" s="63"/>
      <c r="M101" s="63"/>
    </row>
    <row r="102" spans="2:13" ht="9.75" x14ac:dyDescent="0.1">
      <c r="B102" s="94">
        <v>40105</v>
      </c>
      <c r="C102" s="95" t="s">
        <v>3905</v>
      </c>
      <c r="D102" s="96">
        <v>237454</v>
      </c>
      <c r="E102" s="97">
        <v>700000000</v>
      </c>
      <c r="F102" s="96">
        <f t="shared" si="52"/>
        <v>2763258716.7978554</v>
      </c>
      <c r="G102" s="98">
        <f t="shared" si="53"/>
        <v>3463258716.7978554</v>
      </c>
      <c r="H102" s="98">
        <f t="shared" si="54"/>
        <v>3412858716.7978554</v>
      </c>
      <c r="I102" s="97">
        <v>50400000</v>
      </c>
      <c r="J102" s="63"/>
      <c r="K102" s="63"/>
      <c r="L102" s="63"/>
      <c r="M102" s="63"/>
    </row>
    <row r="103" spans="2:13" ht="9.75" x14ac:dyDescent="0.1">
      <c r="B103" s="94">
        <v>40106</v>
      </c>
      <c r="C103" s="95" t="s">
        <v>3906</v>
      </c>
      <c r="D103" s="96">
        <v>30459</v>
      </c>
      <c r="E103" s="97">
        <v>700000000</v>
      </c>
      <c r="F103" s="96">
        <f t="shared" si="52"/>
        <v>354452219.18748844</v>
      </c>
      <c r="G103" s="98">
        <f t="shared" si="53"/>
        <v>1054452219.1874884</v>
      </c>
      <c r="H103" s="98">
        <f t="shared" si="54"/>
        <v>1004052219.1874884</v>
      </c>
      <c r="I103" s="97">
        <v>50400000</v>
      </c>
      <c r="J103" s="63"/>
      <c r="K103" s="63"/>
      <c r="L103" s="63"/>
      <c r="M103" s="63"/>
    </row>
    <row r="104" spans="2:13" ht="9.75" x14ac:dyDescent="0.1">
      <c r="B104" s="94">
        <v>40107</v>
      </c>
      <c r="C104" s="95" t="s">
        <v>2999</v>
      </c>
      <c r="D104" s="96">
        <v>25985</v>
      </c>
      <c r="E104" s="97">
        <v>700000000</v>
      </c>
      <c r="F104" s="96">
        <f t="shared" si="52"/>
        <v>302388158.36327153</v>
      </c>
      <c r="G104" s="98">
        <f t="shared" si="53"/>
        <v>1002388158.3632715</v>
      </c>
      <c r="H104" s="98">
        <f t="shared" si="54"/>
        <v>951988158.36327147</v>
      </c>
      <c r="I104" s="97">
        <v>50400000</v>
      </c>
      <c r="J104" s="63"/>
      <c r="K104" s="63"/>
      <c r="L104" s="63"/>
      <c r="M104" s="63"/>
    </row>
    <row r="105" spans="2:13" ht="9.75" x14ac:dyDescent="0.1">
      <c r="B105" s="94">
        <v>40108</v>
      </c>
      <c r="C105" s="95" t="s">
        <v>3907</v>
      </c>
      <c r="D105" s="96">
        <v>18053</v>
      </c>
      <c r="E105" s="97">
        <v>700000000</v>
      </c>
      <c r="F105" s="96">
        <f t="shared" si="52"/>
        <v>210083256.60697097</v>
      </c>
      <c r="G105" s="98">
        <f t="shared" si="53"/>
        <v>910083256.60697103</v>
      </c>
      <c r="H105" s="98">
        <f t="shared" si="54"/>
        <v>859683256.60697103</v>
      </c>
      <c r="I105" s="97">
        <v>50400000</v>
      </c>
      <c r="J105" s="63"/>
      <c r="K105" s="63"/>
      <c r="L105" s="63"/>
      <c r="M105" s="63"/>
    </row>
    <row r="106" spans="2:13" ht="9.75" x14ac:dyDescent="0.1">
      <c r="B106" s="94">
        <v>40109</v>
      </c>
      <c r="C106" s="95" t="s">
        <v>3908</v>
      </c>
      <c r="D106" s="96">
        <v>22074</v>
      </c>
      <c r="E106" s="97">
        <v>700000000</v>
      </c>
      <c r="F106" s="96">
        <f t="shared" si="52"/>
        <v>256875743.99503005</v>
      </c>
      <c r="G106" s="98">
        <f t="shared" si="53"/>
        <v>956875743.99503005</v>
      </c>
      <c r="H106" s="98">
        <f t="shared" si="54"/>
        <v>906475743.99503005</v>
      </c>
      <c r="I106" s="97">
        <v>50400000</v>
      </c>
      <c r="J106" s="63"/>
      <c r="K106" s="63"/>
      <c r="L106" s="63"/>
      <c r="M106" s="63"/>
    </row>
    <row r="107" spans="2:13" ht="9.75" x14ac:dyDescent="0.1">
      <c r="B107" s="94">
        <v>40110</v>
      </c>
      <c r="C107" s="95" t="s">
        <v>3909</v>
      </c>
      <c r="D107" s="96">
        <v>17670</v>
      </c>
      <c r="E107" s="97">
        <v>700000000</v>
      </c>
      <c r="F107" s="96">
        <f t="shared" si="52"/>
        <v>205626275.0925152</v>
      </c>
      <c r="G107" s="98">
        <f t="shared" si="53"/>
        <v>905626275.09251523</v>
      </c>
      <c r="H107" s="98">
        <f t="shared" si="54"/>
        <v>855226275.09251523</v>
      </c>
      <c r="I107" s="97">
        <v>50400000</v>
      </c>
      <c r="J107" s="63"/>
      <c r="K107" s="63"/>
      <c r="L107" s="63"/>
      <c r="M107" s="63"/>
    </row>
    <row r="108" spans="2:13" ht="9.75" x14ac:dyDescent="0.1">
      <c r="B108" s="94">
        <v>40111</v>
      </c>
      <c r="C108" s="95" t="s">
        <v>3910</v>
      </c>
      <c r="D108" s="96">
        <v>28565</v>
      </c>
      <c r="E108" s="97">
        <v>700000000</v>
      </c>
      <c r="F108" s="96">
        <f t="shared" si="52"/>
        <v>332411689.19172025</v>
      </c>
      <c r="G108" s="98">
        <f t="shared" si="53"/>
        <v>1032411689.1917202</v>
      </c>
      <c r="H108" s="98">
        <f t="shared" si="54"/>
        <v>982011689.19172025</v>
      </c>
      <c r="I108" s="97">
        <v>50400000</v>
      </c>
      <c r="J108" s="63"/>
      <c r="K108" s="63"/>
      <c r="L108" s="63"/>
      <c r="M108" s="63"/>
    </row>
    <row r="109" spans="2:13" ht="9.75" x14ac:dyDescent="0.1">
      <c r="B109" s="94">
        <v>40112</v>
      </c>
      <c r="C109" s="95" t="s">
        <v>3911</v>
      </c>
      <c r="D109" s="96">
        <v>26407</v>
      </c>
      <c r="E109" s="97">
        <v>700000000</v>
      </c>
      <c r="F109" s="96">
        <f t="shared" si="52"/>
        <v>307298983.94838989</v>
      </c>
      <c r="G109" s="98">
        <f t="shared" si="53"/>
        <v>1007298983.9483899</v>
      </c>
      <c r="H109" s="98">
        <f t="shared" si="54"/>
        <v>956898983.94838989</v>
      </c>
      <c r="I109" s="97">
        <v>50400000</v>
      </c>
      <c r="J109" s="63"/>
      <c r="K109" s="63"/>
      <c r="L109" s="63"/>
      <c r="M109" s="63"/>
    </row>
    <row r="110" spans="2:13" ht="9.75" x14ac:dyDescent="0.1">
      <c r="B110" s="94">
        <v>40113</v>
      </c>
      <c r="C110" s="95" t="s">
        <v>3912</v>
      </c>
      <c r="D110" s="96">
        <v>40348</v>
      </c>
      <c r="E110" s="97">
        <v>700000000</v>
      </c>
      <c r="F110" s="96">
        <f t="shared" si="52"/>
        <v>469530783.66908908</v>
      </c>
      <c r="G110" s="98">
        <f t="shared" si="53"/>
        <v>1169530783.6690891</v>
      </c>
      <c r="H110" s="98">
        <f t="shared" si="54"/>
        <v>1119130783.6690891</v>
      </c>
      <c r="I110" s="97">
        <v>50400000</v>
      </c>
      <c r="J110" s="63"/>
      <c r="K110" s="63"/>
      <c r="L110" s="63"/>
      <c r="M110" s="63"/>
    </row>
    <row r="111" spans="2:13" ht="9.75" x14ac:dyDescent="0.1">
      <c r="B111" s="91"/>
      <c r="C111" s="92" t="s">
        <v>3913</v>
      </c>
      <c r="D111" s="93">
        <f t="shared" ref="D111" si="55">SUM(D112:D119)</f>
        <v>255046</v>
      </c>
      <c r="E111" s="93">
        <f>SUM(E112:E119)</f>
        <v>5600000000</v>
      </c>
      <c r="F111" s="93">
        <f>SUM(F112:F119)</f>
        <v>2967977303.7490458</v>
      </c>
      <c r="G111" s="93">
        <f>SUM(G112:G119)</f>
        <v>8567977303.7490444</v>
      </c>
      <c r="H111" s="93">
        <f t="shared" ref="H111:I111" si="56">SUM(H112:H119)</f>
        <v>8164777303.7490444</v>
      </c>
      <c r="I111" s="93">
        <f t="shared" si="56"/>
        <v>403200000</v>
      </c>
      <c r="J111" s="63"/>
      <c r="K111" s="63"/>
      <c r="L111" s="63"/>
      <c r="M111" s="63"/>
    </row>
    <row r="112" spans="2:13" ht="9.75" x14ac:dyDescent="0.1">
      <c r="B112" s="94">
        <v>40201</v>
      </c>
      <c r="C112" s="95" t="s">
        <v>3914</v>
      </c>
      <c r="D112" s="96">
        <v>81842</v>
      </c>
      <c r="E112" s="97">
        <v>700000000</v>
      </c>
      <c r="F112" s="96">
        <f t="shared" ref="F112:F119" si="57">D112*$H$386</f>
        <v>952397600.79918671</v>
      </c>
      <c r="G112" s="98">
        <f t="shared" ref="G112:G119" si="58">F112+E112</f>
        <v>1652397600.7991867</v>
      </c>
      <c r="H112" s="98">
        <f t="shared" ref="H112:H132" si="59">G112-I112</f>
        <v>1601997600.7991867</v>
      </c>
      <c r="I112" s="97">
        <v>50400000</v>
      </c>
      <c r="J112" s="63"/>
      <c r="K112" s="63"/>
      <c r="L112" s="63"/>
      <c r="M112" s="63"/>
    </row>
    <row r="113" spans="2:13" ht="9.75" x14ac:dyDescent="0.1">
      <c r="B113" s="94">
        <v>40202</v>
      </c>
      <c r="C113" s="95" t="s">
        <v>3915</v>
      </c>
      <c r="D113" s="96">
        <v>33666</v>
      </c>
      <c r="E113" s="97">
        <v>700000000</v>
      </c>
      <c r="F113" s="96">
        <f t="shared" si="57"/>
        <v>391772166.22889739</v>
      </c>
      <c r="G113" s="98">
        <f t="shared" si="58"/>
        <v>1091772166.2288973</v>
      </c>
      <c r="H113" s="98">
        <f t="shared" si="59"/>
        <v>1041372166.2288973</v>
      </c>
      <c r="I113" s="97">
        <v>50400000</v>
      </c>
      <c r="J113" s="63"/>
      <c r="K113" s="63"/>
      <c r="L113" s="63"/>
      <c r="M113" s="63"/>
    </row>
    <row r="114" spans="2:13" ht="9.75" x14ac:dyDescent="0.1">
      <c r="B114" s="94">
        <v>40203</v>
      </c>
      <c r="C114" s="95" t="s">
        <v>3916</v>
      </c>
      <c r="D114" s="96">
        <v>44616</v>
      </c>
      <c r="E114" s="97">
        <v>700000000</v>
      </c>
      <c r="F114" s="96">
        <f t="shared" si="57"/>
        <v>519197616.83801126</v>
      </c>
      <c r="G114" s="98">
        <f t="shared" si="58"/>
        <v>1219197616.8380113</v>
      </c>
      <c r="H114" s="98">
        <f t="shared" si="59"/>
        <v>1168797616.8380113</v>
      </c>
      <c r="I114" s="97">
        <v>50400000</v>
      </c>
      <c r="J114" s="63"/>
      <c r="K114" s="63"/>
      <c r="L114" s="63"/>
      <c r="M114" s="63"/>
    </row>
    <row r="115" spans="2:13" ht="9.75" x14ac:dyDescent="0.1">
      <c r="B115" s="94">
        <v>40204</v>
      </c>
      <c r="C115" s="95" t="s">
        <v>3917</v>
      </c>
      <c r="D115" s="96">
        <v>26525</v>
      </c>
      <c r="E115" s="97">
        <v>700000000</v>
      </c>
      <c r="F115" s="96">
        <f t="shared" si="57"/>
        <v>308672153.18783057</v>
      </c>
      <c r="G115" s="98">
        <f t="shared" si="58"/>
        <v>1008672153.1878306</v>
      </c>
      <c r="H115" s="98">
        <f t="shared" si="59"/>
        <v>958272153.18783057</v>
      </c>
      <c r="I115" s="97">
        <v>50400000</v>
      </c>
      <c r="J115" s="63"/>
      <c r="K115" s="63"/>
      <c r="L115" s="63"/>
      <c r="M115" s="63"/>
    </row>
    <row r="116" spans="2:13" ht="9.75" x14ac:dyDescent="0.1">
      <c r="B116" s="94">
        <v>40205</v>
      </c>
      <c r="C116" s="95" t="s">
        <v>3918</v>
      </c>
      <c r="D116" s="96">
        <v>8495</v>
      </c>
      <c r="E116" s="97">
        <v>700000000</v>
      </c>
      <c r="F116" s="96">
        <f t="shared" si="57"/>
        <v>98856548.212275982</v>
      </c>
      <c r="G116" s="98">
        <f t="shared" si="58"/>
        <v>798856548.21227598</v>
      </c>
      <c r="H116" s="98">
        <f t="shared" si="59"/>
        <v>748456548.21227598</v>
      </c>
      <c r="I116" s="97">
        <v>50400000</v>
      </c>
      <c r="J116" s="63"/>
      <c r="K116" s="63"/>
      <c r="L116" s="63"/>
      <c r="M116" s="63"/>
    </row>
    <row r="117" spans="2:13" ht="9.75" x14ac:dyDescent="0.1">
      <c r="B117" s="94">
        <v>40206</v>
      </c>
      <c r="C117" s="95" t="s">
        <v>3919</v>
      </c>
      <c r="D117" s="96">
        <v>14234</v>
      </c>
      <c r="E117" s="97">
        <v>700000000</v>
      </c>
      <c r="F117" s="96">
        <f t="shared" si="57"/>
        <v>165641448.76439512</v>
      </c>
      <c r="G117" s="98">
        <f t="shared" si="58"/>
        <v>865641448.76439512</v>
      </c>
      <c r="H117" s="98">
        <f t="shared" si="59"/>
        <v>815241448.76439512</v>
      </c>
      <c r="I117" s="97">
        <v>50400000</v>
      </c>
      <c r="J117" s="63"/>
      <c r="K117" s="63"/>
      <c r="L117" s="63"/>
      <c r="M117" s="63"/>
    </row>
    <row r="118" spans="2:13" ht="9.75" x14ac:dyDescent="0.1">
      <c r="B118" s="94">
        <v>40207</v>
      </c>
      <c r="C118" s="95" t="s">
        <v>3920</v>
      </c>
      <c r="D118" s="96">
        <v>20792</v>
      </c>
      <c r="E118" s="97">
        <v>700000000</v>
      </c>
      <c r="F118" s="96">
        <f t="shared" si="57"/>
        <v>241957074.80042878</v>
      </c>
      <c r="G118" s="98">
        <f t="shared" si="58"/>
        <v>941957074.80042875</v>
      </c>
      <c r="H118" s="98">
        <f t="shared" si="59"/>
        <v>891557074.80042875</v>
      </c>
      <c r="I118" s="97">
        <v>50400000</v>
      </c>
      <c r="J118" s="63"/>
      <c r="K118" s="63"/>
      <c r="L118" s="63"/>
      <c r="M118" s="63"/>
    </row>
    <row r="119" spans="2:13" ht="9.75" x14ac:dyDescent="0.1">
      <c r="B119" s="94">
        <v>40208</v>
      </c>
      <c r="C119" s="95" t="s">
        <v>3921</v>
      </c>
      <c r="D119" s="96">
        <v>24876</v>
      </c>
      <c r="E119" s="97">
        <v>700000000</v>
      </c>
      <c r="F119" s="96">
        <f t="shared" si="57"/>
        <v>289482694.91801971</v>
      </c>
      <c r="G119" s="98">
        <f t="shared" si="58"/>
        <v>989482694.91801977</v>
      </c>
      <c r="H119" s="98">
        <f t="shared" si="59"/>
        <v>939082694.91801977</v>
      </c>
      <c r="I119" s="97">
        <v>50400000</v>
      </c>
      <c r="J119" s="63"/>
      <c r="K119" s="63"/>
      <c r="L119" s="63"/>
      <c r="M119" s="63"/>
    </row>
    <row r="120" spans="2:13" ht="9.75" x14ac:dyDescent="0.1">
      <c r="B120" s="91"/>
      <c r="C120" s="92" t="s">
        <v>3922</v>
      </c>
      <c r="D120" s="93">
        <f t="shared" ref="D120" si="60">SUM(D121:D132)</f>
        <v>329840</v>
      </c>
      <c r="E120" s="93">
        <f>SUM(E121:E132)</f>
        <v>8400000000</v>
      </c>
      <c r="F120" s="93">
        <f>SUM(F121:F132)</f>
        <v>3838357135.0602837</v>
      </c>
      <c r="G120" s="93">
        <f>SUM(G121:G132)</f>
        <v>12238357135.060286</v>
      </c>
      <c r="H120" s="93">
        <f t="shared" ref="H120:I120" si="61">SUM(H121:H132)</f>
        <v>11633557135.060286</v>
      </c>
      <c r="I120" s="93">
        <f t="shared" si="61"/>
        <v>604800000</v>
      </c>
      <c r="J120" s="63"/>
      <c r="K120" s="63"/>
      <c r="L120" s="63"/>
      <c r="M120" s="63"/>
    </row>
    <row r="121" spans="2:13" ht="9.75" x14ac:dyDescent="0.1">
      <c r="B121" s="94">
        <v>40301</v>
      </c>
      <c r="C121" s="95" t="s">
        <v>3923</v>
      </c>
      <c r="D121" s="96">
        <v>19411</v>
      </c>
      <c r="E121" s="97">
        <v>700000000</v>
      </c>
      <c r="F121" s="96">
        <f t="shared" ref="F121:F132" si="62">D121*$H$386</f>
        <v>225886339.88799167</v>
      </c>
      <c r="G121" s="98">
        <f t="shared" ref="G121:G132" si="63">F121+E121</f>
        <v>925886339.88799167</v>
      </c>
      <c r="H121" s="98">
        <f t="shared" si="59"/>
        <v>875486339.88799167</v>
      </c>
      <c r="I121" s="97">
        <v>50400000</v>
      </c>
      <c r="J121" s="63"/>
      <c r="K121" s="63"/>
      <c r="L121" s="63"/>
      <c r="M121" s="63"/>
    </row>
    <row r="122" spans="2:13" ht="9.75" x14ac:dyDescent="0.1">
      <c r="B122" s="94">
        <v>40302</v>
      </c>
      <c r="C122" s="95" t="s">
        <v>3924</v>
      </c>
      <c r="D122" s="96">
        <v>20158</v>
      </c>
      <c r="E122" s="97">
        <v>700000000</v>
      </c>
      <c r="F122" s="96">
        <f t="shared" si="62"/>
        <v>234579199.39529833</v>
      </c>
      <c r="G122" s="98">
        <f t="shared" si="63"/>
        <v>934579199.39529836</v>
      </c>
      <c r="H122" s="98">
        <f t="shared" si="59"/>
        <v>884179199.39529836</v>
      </c>
      <c r="I122" s="97">
        <v>50400000</v>
      </c>
      <c r="J122" s="63"/>
      <c r="K122" s="63"/>
      <c r="L122" s="63"/>
      <c r="M122" s="63"/>
    </row>
    <row r="123" spans="2:13" ht="9.75" x14ac:dyDescent="0.1">
      <c r="B123" s="94">
        <v>40303</v>
      </c>
      <c r="C123" s="95" t="s">
        <v>3925</v>
      </c>
      <c r="D123" s="96">
        <v>30293</v>
      </c>
      <c r="E123" s="97">
        <v>700000000</v>
      </c>
      <c r="F123" s="96">
        <f t="shared" si="62"/>
        <v>352520472.63030916</v>
      </c>
      <c r="G123" s="98">
        <f t="shared" si="63"/>
        <v>1052520472.6303091</v>
      </c>
      <c r="H123" s="98">
        <f t="shared" si="59"/>
        <v>1002120472.6303091</v>
      </c>
      <c r="I123" s="97">
        <v>50400000</v>
      </c>
      <c r="J123" s="63"/>
      <c r="K123" s="63"/>
      <c r="L123" s="63"/>
      <c r="M123" s="63"/>
    </row>
    <row r="124" spans="2:13" ht="9.75" x14ac:dyDescent="0.1">
      <c r="B124" s="94">
        <v>40304</v>
      </c>
      <c r="C124" s="95" t="s">
        <v>3926</v>
      </c>
      <c r="D124" s="96">
        <v>19021</v>
      </c>
      <c r="E124" s="97">
        <v>700000000</v>
      </c>
      <c r="F124" s="96">
        <f t="shared" si="62"/>
        <v>221347899.1813657</v>
      </c>
      <c r="G124" s="98">
        <f t="shared" si="63"/>
        <v>921347899.18136573</v>
      </c>
      <c r="H124" s="98">
        <f t="shared" si="59"/>
        <v>870947899.18136573</v>
      </c>
      <c r="I124" s="97">
        <v>50400000</v>
      </c>
      <c r="J124" s="63"/>
      <c r="K124" s="63"/>
      <c r="L124" s="63"/>
      <c r="M124" s="63"/>
    </row>
    <row r="125" spans="2:13" ht="9.75" x14ac:dyDescent="0.1">
      <c r="B125" s="94">
        <v>40305</v>
      </c>
      <c r="C125" s="95" t="s">
        <v>3927</v>
      </c>
      <c r="D125" s="96">
        <v>51295</v>
      </c>
      <c r="E125" s="97">
        <v>700000000</v>
      </c>
      <c r="F125" s="96">
        <f t="shared" si="62"/>
        <v>596921323.19584429</v>
      </c>
      <c r="G125" s="98">
        <f t="shared" si="63"/>
        <v>1296921323.1958442</v>
      </c>
      <c r="H125" s="98">
        <f t="shared" si="59"/>
        <v>1246521323.1958442</v>
      </c>
      <c r="I125" s="97">
        <v>50400000</v>
      </c>
      <c r="J125" s="63"/>
      <c r="K125" s="63"/>
      <c r="L125" s="63"/>
      <c r="M125" s="63"/>
    </row>
    <row r="126" spans="2:13" ht="9.75" x14ac:dyDescent="0.1">
      <c r="B126" s="94">
        <v>40306</v>
      </c>
      <c r="C126" s="95" t="s">
        <v>3928</v>
      </c>
      <c r="D126" s="96">
        <v>28776</v>
      </c>
      <c r="E126" s="97">
        <v>700000000</v>
      </c>
      <c r="F126" s="96">
        <f t="shared" si="62"/>
        <v>334867101.98427945</v>
      </c>
      <c r="G126" s="98">
        <f t="shared" si="63"/>
        <v>1034867101.9842794</v>
      </c>
      <c r="H126" s="98">
        <f t="shared" si="59"/>
        <v>984467101.98427939</v>
      </c>
      <c r="I126" s="97">
        <v>50400000</v>
      </c>
      <c r="J126" s="63"/>
      <c r="K126" s="63"/>
      <c r="L126" s="63"/>
      <c r="M126" s="63"/>
    </row>
    <row r="127" spans="2:13" ht="9.75" x14ac:dyDescent="0.1">
      <c r="B127" s="94">
        <v>40307</v>
      </c>
      <c r="C127" s="95" t="s">
        <v>3929</v>
      </c>
      <c r="D127" s="96">
        <v>22936</v>
      </c>
      <c r="E127" s="97">
        <v>700000000</v>
      </c>
      <c r="F127" s="96">
        <f t="shared" si="62"/>
        <v>266906861.65941873</v>
      </c>
      <c r="G127" s="98">
        <f t="shared" si="63"/>
        <v>966906861.6594187</v>
      </c>
      <c r="H127" s="98">
        <f t="shared" si="59"/>
        <v>916506861.6594187</v>
      </c>
      <c r="I127" s="97">
        <v>50400000</v>
      </c>
      <c r="J127" s="63"/>
      <c r="K127" s="63"/>
      <c r="L127" s="63"/>
      <c r="M127" s="63"/>
    </row>
    <row r="128" spans="2:13" ht="9.75" x14ac:dyDescent="0.1">
      <c r="B128" s="94">
        <v>40308</v>
      </c>
      <c r="C128" s="95" t="s">
        <v>3930</v>
      </c>
      <c r="D128" s="96">
        <v>27405</v>
      </c>
      <c r="E128" s="97">
        <v>700000000</v>
      </c>
      <c r="F128" s="96">
        <f t="shared" si="62"/>
        <v>318912737.34637123</v>
      </c>
      <c r="G128" s="98">
        <f t="shared" si="63"/>
        <v>1018912737.3463712</v>
      </c>
      <c r="H128" s="98">
        <f t="shared" si="59"/>
        <v>968512737.34637117</v>
      </c>
      <c r="I128" s="97">
        <v>50400000</v>
      </c>
      <c r="J128" s="63"/>
      <c r="K128" s="63"/>
      <c r="L128" s="63"/>
      <c r="M128" s="63"/>
    </row>
    <row r="129" spans="2:13" ht="9.75" x14ac:dyDescent="0.1">
      <c r="B129" s="94">
        <v>40309</v>
      </c>
      <c r="C129" s="95" t="s">
        <v>3931</v>
      </c>
      <c r="D129" s="96">
        <v>17251</v>
      </c>
      <c r="E129" s="97">
        <v>700000000</v>
      </c>
      <c r="F129" s="96">
        <f t="shared" si="62"/>
        <v>200750360.58975551</v>
      </c>
      <c r="G129" s="98">
        <f t="shared" si="63"/>
        <v>900750360.58975554</v>
      </c>
      <c r="H129" s="98">
        <f t="shared" si="59"/>
        <v>850350360.58975554</v>
      </c>
      <c r="I129" s="97">
        <v>50400000</v>
      </c>
      <c r="J129" s="63"/>
      <c r="K129" s="63"/>
      <c r="L129" s="63"/>
      <c r="M129" s="63"/>
    </row>
    <row r="130" spans="2:13" ht="9.75" x14ac:dyDescent="0.1">
      <c r="B130" s="94">
        <v>40310</v>
      </c>
      <c r="C130" s="95" t="s">
        <v>3932</v>
      </c>
      <c r="D130" s="96">
        <v>15735</v>
      </c>
      <c r="E130" s="97">
        <v>700000000</v>
      </c>
      <c r="F130" s="96">
        <f t="shared" si="62"/>
        <v>183108626.97117865</v>
      </c>
      <c r="G130" s="98">
        <f t="shared" si="63"/>
        <v>883108626.97117865</v>
      </c>
      <c r="H130" s="98">
        <f t="shared" si="59"/>
        <v>832708626.97117865</v>
      </c>
      <c r="I130" s="97">
        <v>50400000</v>
      </c>
      <c r="J130" s="63"/>
      <c r="K130" s="63"/>
      <c r="L130" s="63"/>
      <c r="M130" s="63"/>
    </row>
    <row r="131" spans="2:13" ht="9.75" x14ac:dyDescent="0.1">
      <c r="B131" s="94">
        <v>40311</v>
      </c>
      <c r="C131" s="95" t="s">
        <v>3933</v>
      </c>
      <c r="D131" s="96">
        <v>48414</v>
      </c>
      <c r="E131" s="97">
        <v>700000000</v>
      </c>
      <c r="F131" s="96">
        <f t="shared" si="62"/>
        <v>563395047.1040765</v>
      </c>
      <c r="G131" s="98">
        <f t="shared" si="63"/>
        <v>1263395047.1040764</v>
      </c>
      <c r="H131" s="98">
        <f t="shared" si="59"/>
        <v>1212995047.1040764</v>
      </c>
      <c r="I131" s="97">
        <v>50400000</v>
      </c>
      <c r="J131" s="63"/>
      <c r="K131" s="63"/>
      <c r="L131" s="63"/>
      <c r="M131" s="63"/>
    </row>
    <row r="132" spans="2:13" ht="9.75" x14ac:dyDescent="0.1">
      <c r="B132" s="94">
        <v>40312</v>
      </c>
      <c r="C132" s="95" t="s">
        <v>3934</v>
      </c>
      <c r="D132" s="96">
        <v>29145</v>
      </c>
      <c r="E132" s="97">
        <v>700000000</v>
      </c>
      <c r="F132" s="96">
        <f t="shared" si="62"/>
        <v>339161165.11439478</v>
      </c>
      <c r="G132" s="98">
        <f t="shared" si="63"/>
        <v>1039161165.1143948</v>
      </c>
      <c r="H132" s="98">
        <f t="shared" si="59"/>
        <v>988761165.11439478</v>
      </c>
      <c r="I132" s="97">
        <v>50400000</v>
      </c>
      <c r="J132" s="63"/>
      <c r="K132" s="63"/>
      <c r="L132" s="63"/>
      <c r="M132" s="63"/>
    </row>
    <row r="133" spans="2:13" ht="9.75" x14ac:dyDescent="0.1">
      <c r="B133" s="91"/>
      <c r="C133" s="92" t="s">
        <v>3935</v>
      </c>
      <c r="D133" s="93">
        <f t="shared" ref="D133" si="64">SUM(D134:D145)</f>
        <v>412842</v>
      </c>
      <c r="E133" s="93">
        <f>SUM(E134:E145)</f>
        <v>8400000000</v>
      </c>
      <c r="F133" s="93">
        <f>SUM(F134:F145)</f>
        <v>4804253687.7048197</v>
      </c>
      <c r="G133" s="93">
        <f>SUM(G134:G145)</f>
        <v>13204253687.704819</v>
      </c>
      <c r="H133" s="93">
        <f t="shared" ref="H133:I133" si="65">SUM(H134:H145)</f>
        <v>12599453687.704819</v>
      </c>
      <c r="I133" s="93">
        <f t="shared" si="65"/>
        <v>604800000</v>
      </c>
      <c r="J133" s="63"/>
      <c r="K133" s="63"/>
      <c r="L133" s="63"/>
      <c r="M133" s="63"/>
    </row>
    <row r="134" spans="2:13" ht="9.75" x14ac:dyDescent="0.1">
      <c r="B134" s="94">
        <v>40401</v>
      </c>
      <c r="C134" s="95" t="s">
        <v>3936</v>
      </c>
      <c r="D134" s="96">
        <v>35252</v>
      </c>
      <c r="E134" s="97">
        <v>700000000</v>
      </c>
      <c r="F134" s="96">
        <f t="shared" ref="F134:F145" si="66">D134*$H$386</f>
        <v>410228491.76917636</v>
      </c>
      <c r="G134" s="98">
        <f t="shared" ref="G134:G145" si="67">F134+E134</f>
        <v>1110228491.7691765</v>
      </c>
      <c r="H134" s="98">
        <f t="shared" ref="H134:H145" si="68">G134-I134</f>
        <v>1059828491.7691765</v>
      </c>
      <c r="I134" s="97">
        <v>50400000</v>
      </c>
      <c r="J134" s="63"/>
      <c r="K134" s="63"/>
      <c r="L134" s="63"/>
      <c r="M134" s="63"/>
    </row>
    <row r="135" spans="2:13" ht="9.75" x14ac:dyDescent="0.1">
      <c r="B135" s="94">
        <v>40402</v>
      </c>
      <c r="C135" s="95" t="s">
        <v>3866</v>
      </c>
      <c r="D135" s="96">
        <v>77484</v>
      </c>
      <c r="E135" s="97">
        <v>700000000</v>
      </c>
      <c r="F135" s="96">
        <f t="shared" si="66"/>
        <v>901683435.15950477</v>
      </c>
      <c r="G135" s="98">
        <f t="shared" si="67"/>
        <v>1601683435.1595049</v>
      </c>
      <c r="H135" s="98">
        <f t="shared" si="68"/>
        <v>1551283435.1595049</v>
      </c>
      <c r="I135" s="97">
        <v>50400000</v>
      </c>
      <c r="J135" s="63"/>
      <c r="K135" s="63"/>
      <c r="L135" s="63"/>
      <c r="M135" s="63"/>
    </row>
    <row r="136" spans="2:13" ht="9.75" x14ac:dyDescent="0.1">
      <c r="B136" s="94">
        <v>40403</v>
      </c>
      <c r="C136" s="95" t="s">
        <v>3937</v>
      </c>
      <c r="D136" s="96">
        <v>29430</v>
      </c>
      <c r="E136" s="97">
        <v>700000000</v>
      </c>
      <c r="F136" s="96">
        <f t="shared" si="66"/>
        <v>342477717.93846762</v>
      </c>
      <c r="G136" s="98">
        <f t="shared" si="67"/>
        <v>1042477717.9384676</v>
      </c>
      <c r="H136" s="98">
        <f t="shared" si="68"/>
        <v>992077717.93846762</v>
      </c>
      <c r="I136" s="97">
        <v>50400000</v>
      </c>
      <c r="J136" s="63"/>
      <c r="K136" s="63"/>
      <c r="L136" s="63"/>
      <c r="M136" s="63"/>
    </row>
    <row r="137" spans="2:13" ht="9.75" x14ac:dyDescent="0.1">
      <c r="B137" s="94">
        <v>40404</v>
      </c>
      <c r="C137" s="95" t="s">
        <v>3938</v>
      </c>
      <c r="D137" s="96">
        <v>14392</v>
      </c>
      <c r="E137" s="97">
        <v>700000000</v>
      </c>
      <c r="F137" s="96">
        <f t="shared" si="66"/>
        <v>167480099.10195127</v>
      </c>
      <c r="G137" s="98">
        <f t="shared" si="67"/>
        <v>867480099.10195124</v>
      </c>
      <c r="H137" s="98">
        <f t="shared" si="68"/>
        <v>817080099.10195124</v>
      </c>
      <c r="I137" s="97">
        <v>50400000</v>
      </c>
      <c r="J137" s="63"/>
      <c r="K137" s="63"/>
      <c r="L137" s="63"/>
      <c r="M137" s="63"/>
    </row>
    <row r="138" spans="2:13" ht="9.75" x14ac:dyDescent="0.1">
      <c r="B138" s="94">
        <v>40405</v>
      </c>
      <c r="C138" s="95" t="s">
        <v>3939</v>
      </c>
      <c r="D138" s="96">
        <v>46547</v>
      </c>
      <c r="E138" s="97">
        <v>700000000</v>
      </c>
      <c r="F138" s="96">
        <f t="shared" si="66"/>
        <v>541668716.8495363</v>
      </c>
      <c r="G138" s="98">
        <f t="shared" si="67"/>
        <v>1241668716.8495364</v>
      </c>
      <c r="H138" s="98">
        <f t="shared" si="68"/>
        <v>1191268716.8495364</v>
      </c>
      <c r="I138" s="97">
        <v>50400000</v>
      </c>
      <c r="J138" s="63"/>
      <c r="K138" s="63"/>
      <c r="L138" s="63"/>
      <c r="M138" s="63"/>
    </row>
    <row r="139" spans="2:13" ht="9.75" x14ac:dyDescent="0.1">
      <c r="B139" s="94">
        <v>40406</v>
      </c>
      <c r="C139" s="95" t="s">
        <v>3940</v>
      </c>
      <c r="D139" s="96">
        <v>38714</v>
      </c>
      <c r="E139" s="97">
        <v>700000000</v>
      </c>
      <c r="F139" s="96">
        <f t="shared" si="66"/>
        <v>450515880.81107152</v>
      </c>
      <c r="G139" s="98">
        <f t="shared" si="67"/>
        <v>1150515880.8110714</v>
      </c>
      <c r="H139" s="98">
        <f t="shared" si="68"/>
        <v>1100115880.8110714</v>
      </c>
      <c r="I139" s="97">
        <v>50400000</v>
      </c>
      <c r="J139" s="63"/>
      <c r="K139" s="63"/>
      <c r="L139" s="63"/>
      <c r="M139" s="63"/>
    </row>
    <row r="140" spans="2:13" ht="9.75" x14ac:dyDescent="0.1">
      <c r="B140" s="94">
        <v>40407</v>
      </c>
      <c r="C140" s="95" t="s">
        <v>3941</v>
      </c>
      <c r="D140" s="96">
        <v>39759</v>
      </c>
      <c r="E140" s="97">
        <v>700000000</v>
      </c>
      <c r="F140" s="96">
        <f t="shared" si="66"/>
        <v>462676574.49933857</v>
      </c>
      <c r="G140" s="98">
        <f t="shared" si="67"/>
        <v>1162676574.4993386</v>
      </c>
      <c r="H140" s="98">
        <f t="shared" si="68"/>
        <v>1112276574.4993386</v>
      </c>
      <c r="I140" s="97">
        <v>50400000</v>
      </c>
      <c r="J140" s="63"/>
      <c r="K140" s="63"/>
      <c r="L140" s="63"/>
      <c r="M140" s="63"/>
    </row>
    <row r="141" spans="2:13" ht="9.75" x14ac:dyDescent="0.1">
      <c r="B141" s="94">
        <v>40408</v>
      </c>
      <c r="C141" s="95" t="s">
        <v>3942</v>
      </c>
      <c r="D141" s="96">
        <v>27920</v>
      </c>
      <c r="E141" s="97">
        <v>700000000</v>
      </c>
      <c r="F141" s="96">
        <f t="shared" si="66"/>
        <v>324905806.48460805</v>
      </c>
      <c r="G141" s="98">
        <f t="shared" si="67"/>
        <v>1024905806.4846081</v>
      </c>
      <c r="H141" s="98">
        <f t="shared" si="68"/>
        <v>974505806.48460805</v>
      </c>
      <c r="I141" s="97">
        <v>50400000</v>
      </c>
      <c r="J141" s="63"/>
      <c r="K141" s="63"/>
      <c r="L141" s="63"/>
      <c r="M141" s="63"/>
    </row>
    <row r="142" spans="2:13" ht="9.75" x14ac:dyDescent="0.1">
      <c r="B142" s="94">
        <v>40409</v>
      </c>
      <c r="C142" s="95" t="s">
        <v>3943</v>
      </c>
      <c r="D142" s="96">
        <v>34939</v>
      </c>
      <c r="E142" s="97">
        <v>700000000</v>
      </c>
      <c r="F142" s="96">
        <f t="shared" si="66"/>
        <v>406586102.17642272</v>
      </c>
      <c r="G142" s="98">
        <f t="shared" si="67"/>
        <v>1106586102.1764226</v>
      </c>
      <c r="H142" s="98">
        <f t="shared" si="68"/>
        <v>1056186102.1764226</v>
      </c>
      <c r="I142" s="97">
        <v>50400000</v>
      </c>
      <c r="J142" s="63"/>
      <c r="K142" s="63"/>
      <c r="L142" s="63"/>
      <c r="M142" s="63"/>
    </row>
    <row r="143" spans="2:13" ht="9.75" x14ac:dyDescent="0.1">
      <c r="B143" s="94">
        <v>40410</v>
      </c>
      <c r="C143" s="95" t="s">
        <v>3944</v>
      </c>
      <c r="D143" s="96">
        <v>17785</v>
      </c>
      <c r="E143" s="97">
        <v>700000000</v>
      </c>
      <c r="F143" s="96">
        <f t="shared" si="66"/>
        <v>206964533.24959722</v>
      </c>
      <c r="G143" s="98">
        <f t="shared" si="67"/>
        <v>906964533.24959719</v>
      </c>
      <c r="H143" s="98">
        <f t="shared" si="68"/>
        <v>856564533.24959719</v>
      </c>
      <c r="I143" s="97">
        <v>50400000</v>
      </c>
      <c r="J143" s="63"/>
      <c r="K143" s="63"/>
      <c r="L143" s="63"/>
      <c r="M143" s="63"/>
    </row>
    <row r="144" spans="2:13" ht="9.75" x14ac:dyDescent="0.1">
      <c r="B144" s="94">
        <v>40411</v>
      </c>
      <c r="C144" s="95" t="s">
        <v>3945</v>
      </c>
      <c r="D144" s="96">
        <v>22423</v>
      </c>
      <c r="E144" s="97">
        <v>700000000</v>
      </c>
      <c r="F144" s="96">
        <f t="shared" si="66"/>
        <v>260937066.57608762</v>
      </c>
      <c r="G144" s="98">
        <f t="shared" si="67"/>
        <v>960937066.57608759</v>
      </c>
      <c r="H144" s="98">
        <f t="shared" si="68"/>
        <v>910537066.57608759</v>
      </c>
      <c r="I144" s="97">
        <v>50400000</v>
      </c>
      <c r="J144" s="63"/>
      <c r="K144" s="63"/>
      <c r="L144" s="63"/>
      <c r="M144" s="63"/>
    </row>
    <row r="145" spans="2:13" ht="9.75" x14ac:dyDescent="0.1">
      <c r="B145" s="94">
        <v>40412</v>
      </c>
      <c r="C145" s="95" t="s">
        <v>3946</v>
      </c>
      <c r="D145" s="96">
        <v>28197</v>
      </c>
      <c r="E145" s="97">
        <v>700000000</v>
      </c>
      <c r="F145" s="96">
        <f t="shared" si="66"/>
        <v>328129263.0890578</v>
      </c>
      <c r="G145" s="98">
        <f t="shared" si="67"/>
        <v>1028129263.0890578</v>
      </c>
      <c r="H145" s="98">
        <f t="shared" si="68"/>
        <v>977729263.0890578</v>
      </c>
      <c r="I145" s="97">
        <v>50400000</v>
      </c>
      <c r="J145" s="63"/>
      <c r="K145" s="63"/>
      <c r="L145" s="63"/>
      <c r="M145" s="63"/>
    </row>
    <row r="146" spans="2:13" ht="9.75" x14ac:dyDescent="0.1">
      <c r="B146" s="91"/>
      <c r="C146" s="92" t="s">
        <v>3947</v>
      </c>
      <c r="D146" s="93">
        <f t="shared" ref="D146" si="69">SUM(D147:D159)</f>
        <v>832644</v>
      </c>
      <c r="E146" s="93">
        <f>SUM(E147:E159)</f>
        <v>9100000000</v>
      </c>
      <c r="F146" s="93">
        <f>SUM(F147:F159)</f>
        <v>9689501086.4817333</v>
      </c>
      <c r="G146" s="93">
        <f>SUM(G147:G159)</f>
        <v>18789501086.481731</v>
      </c>
      <c r="H146" s="93">
        <f t="shared" ref="H146:I146" si="70">SUM(H147:H159)</f>
        <v>18134301086.481731</v>
      </c>
      <c r="I146" s="93">
        <f t="shared" si="70"/>
        <v>655200000</v>
      </c>
      <c r="J146" s="63"/>
      <c r="K146" s="63"/>
      <c r="L146" s="63"/>
      <c r="M146" s="63"/>
    </row>
    <row r="147" spans="2:13" ht="9.75" x14ac:dyDescent="0.1">
      <c r="B147" s="94">
        <v>40501</v>
      </c>
      <c r="C147" s="95" t="s">
        <v>3948</v>
      </c>
      <c r="D147" s="96">
        <v>22444</v>
      </c>
      <c r="E147" s="97">
        <v>700000000</v>
      </c>
      <c r="F147" s="96">
        <f t="shared" ref="F147:F159" si="71">D147*$H$386</f>
        <v>261181444.15259826</v>
      </c>
      <c r="G147" s="98">
        <f t="shared" ref="G147:G159" si="72">F147+E147</f>
        <v>961181444.15259826</v>
      </c>
      <c r="H147" s="98">
        <f t="shared" ref="H147:H159" si="73">G147-I147</f>
        <v>910781444.15259826</v>
      </c>
      <c r="I147" s="97">
        <v>50400000</v>
      </c>
      <c r="J147" s="63"/>
      <c r="K147" s="63"/>
      <c r="L147" s="63"/>
      <c r="M147" s="63"/>
    </row>
    <row r="148" spans="2:13" ht="9.75" x14ac:dyDescent="0.1">
      <c r="B148" s="94">
        <v>40502</v>
      </c>
      <c r="C148" s="95" t="s">
        <v>2971</v>
      </c>
      <c r="D148" s="96">
        <v>95524</v>
      </c>
      <c r="E148" s="97">
        <v>700000000</v>
      </c>
      <c r="F148" s="96">
        <f t="shared" si="71"/>
        <v>1111615410.4095881</v>
      </c>
      <c r="G148" s="98">
        <f t="shared" si="72"/>
        <v>1811615410.4095881</v>
      </c>
      <c r="H148" s="98">
        <f t="shared" si="73"/>
        <v>1761215410.4095881</v>
      </c>
      <c r="I148" s="97">
        <v>50400000</v>
      </c>
      <c r="J148" s="63"/>
      <c r="K148" s="63"/>
      <c r="L148" s="63"/>
      <c r="M148" s="63"/>
    </row>
    <row r="149" spans="2:13" ht="9.75" x14ac:dyDescent="0.1">
      <c r="B149" s="94">
        <v>40503</v>
      </c>
      <c r="C149" s="95" t="s">
        <v>3949</v>
      </c>
      <c r="D149" s="96">
        <v>35973</v>
      </c>
      <c r="E149" s="97">
        <v>700000000</v>
      </c>
      <c r="F149" s="96">
        <f t="shared" si="71"/>
        <v>418618788.56270796</v>
      </c>
      <c r="G149" s="98">
        <f t="shared" si="72"/>
        <v>1118618788.5627079</v>
      </c>
      <c r="H149" s="98">
        <f t="shared" si="73"/>
        <v>1068218788.5627079</v>
      </c>
      <c r="I149" s="97">
        <v>50400000</v>
      </c>
      <c r="J149" s="63"/>
      <c r="K149" s="63"/>
      <c r="L149" s="63"/>
      <c r="M149" s="63"/>
    </row>
    <row r="150" spans="2:13" ht="9.75" x14ac:dyDescent="0.1">
      <c r="B150" s="94">
        <v>40504</v>
      </c>
      <c r="C150" s="95" t="s">
        <v>3950</v>
      </c>
      <c r="D150" s="96">
        <v>35223</v>
      </c>
      <c r="E150" s="97">
        <v>700000000</v>
      </c>
      <c r="F150" s="96">
        <f t="shared" si="71"/>
        <v>409891017.97304261</v>
      </c>
      <c r="G150" s="98">
        <f t="shared" si="72"/>
        <v>1109891017.9730425</v>
      </c>
      <c r="H150" s="98">
        <f t="shared" si="73"/>
        <v>1059491017.9730425</v>
      </c>
      <c r="I150" s="97">
        <v>50400000</v>
      </c>
      <c r="J150" s="63"/>
      <c r="K150" s="63"/>
      <c r="L150" s="63"/>
      <c r="M150" s="63"/>
    </row>
    <row r="151" spans="2:13" ht="9.75" x14ac:dyDescent="0.1">
      <c r="B151" s="94">
        <v>40505</v>
      </c>
      <c r="C151" s="95" t="s">
        <v>3951</v>
      </c>
      <c r="D151" s="96">
        <v>153367</v>
      </c>
      <c r="E151" s="97">
        <v>700000000</v>
      </c>
      <c r="F151" s="96">
        <f t="shared" si="71"/>
        <v>1784735989.3669372</v>
      </c>
      <c r="G151" s="98">
        <f t="shared" si="72"/>
        <v>2484735989.3669372</v>
      </c>
      <c r="H151" s="98">
        <f t="shared" si="73"/>
        <v>2434335989.3669372</v>
      </c>
      <c r="I151" s="97">
        <v>50400000</v>
      </c>
      <c r="J151" s="63"/>
      <c r="K151" s="63"/>
      <c r="L151" s="63"/>
      <c r="M151" s="63"/>
    </row>
    <row r="152" spans="2:13" ht="9.75" x14ac:dyDescent="0.1">
      <c r="B152" s="94">
        <v>40506</v>
      </c>
      <c r="C152" s="95" t="s">
        <v>3952</v>
      </c>
      <c r="D152" s="96">
        <v>33756</v>
      </c>
      <c r="E152" s="97">
        <v>700000000</v>
      </c>
      <c r="F152" s="96">
        <f t="shared" si="71"/>
        <v>392819498.69965726</v>
      </c>
      <c r="G152" s="98">
        <f t="shared" si="72"/>
        <v>1092819498.6996572</v>
      </c>
      <c r="H152" s="98">
        <f t="shared" si="73"/>
        <v>1042419498.6996572</v>
      </c>
      <c r="I152" s="97">
        <v>50400000</v>
      </c>
      <c r="J152" s="63"/>
      <c r="K152" s="63"/>
      <c r="L152" s="63"/>
      <c r="M152" s="63"/>
    </row>
    <row r="153" spans="2:13" ht="9.75" x14ac:dyDescent="0.1">
      <c r="B153" s="94">
        <v>40507</v>
      </c>
      <c r="C153" s="95" t="s">
        <v>3953</v>
      </c>
      <c r="D153" s="96">
        <v>31150</v>
      </c>
      <c r="E153" s="97">
        <v>700000000</v>
      </c>
      <c r="F153" s="96">
        <f t="shared" si="71"/>
        <v>362493405.15743345</v>
      </c>
      <c r="G153" s="98">
        <f t="shared" si="72"/>
        <v>1062493405.1574335</v>
      </c>
      <c r="H153" s="98">
        <f t="shared" si="73"/>
        <v>1012093405.1574335</v>
      </c>
      <c r="I153" s="97">
        <v>50400000</v>
      </c>
      <c r="J153" s="63"/>
      <c r="K153" s="63"/>
      <c r="L153" s="63"/>
      <c r="M153" s="63"/>
    </row>
    <row r="154" spans="2:13" ht="9.75" x14ac:dyDescent="0.1">
      <c r="B154" s="94">
        <v>40508</v>
      </c>
      <c r="C154" s="95" t="s">
        <v>3954</v>
      </c>
      <c r="D154" s="96">
        <v>37643</v>
      </c>
      <c r="E154" s="97">
        <v>700000000</v>
      </c>
      <c r="F154" s="96">
        <f t="shared" si="71"/>
        <v>438052624.40902942</v>
      </c>
      <c r="G154" s="98">
        <f t="shared" si="72"/>
        <v>1138052624.4090295</v>
      </c>
      <c r="H154" s="98">
        <f t="shared" si="73"/>
        <v>1087652624.4090295</v>
      </c>
      <c r="I154" s="97">
        <v>50400000</v>
      </c>
      <c r="J154" s="63"/>
      <c r="K154" s="63"/>
      <c r="L154" s="63"/>
      <c r="M154" s="63"/>
    </row>
    <row r="155" spans="2:13" ht="9.75" x14ac:dyDescent="0.1">
      <c r="B155" s="94">
        <v>40509</v>
      </c>
      <c r="C155" s="95" t="s">
        <v>3955</v>
      </c>
      <c r="D155" s="96">
        <v>29316</v>
      </c>
      <c r="E155" s="97">
        <v>700000000</v>
      </c>
      <c r="F155" s="96">
        <f t="shared" si="71"/>
        <v>341151096.80883849</v>
      </c>
      <c r="G155" s="98">
        <f t="shared" si="72"/>
        <v>1041151096.8088385</v>
      </c>
      <c r="H155" s="98">
        <f t="shared" si="73"/>
        <v>990751096.80883849</v>
      </c>
      <c r="I155" s="97">
        <v>50400000</v>
      </c>
      <c r="J155" s="63"/>
      <c r="K155" s="63"/>
      <c r="L155" s="63"/>
      <c r="M155" s="63"/>
    </row>
    <row r="156" spans="2:13" ht="9.75" x14ac:dyDescent="0.1">
      <c r="B156" s="94">
        <v>40510</v>
      </c>
      <c r="C156" s="95" t="s">
        <v>3956</v>
      </c>
      <c r="D156" s="96">
        <v>49325</v>
      </c>
      <c r="E156" s="97">
        <v>700000000</v>
      </c>
      <c r="F156" s="96">
        <f t="shared" si="71"/>
        <v>573996379.11365664</v>
      </c>
      <c r="G156" s="98">
        <f t="shared" si="72"/>
        <v>1273996379.1136565</v>
      </c>
      <c r="H156" s="98">
        <f t="shared" si="73"/>
        <v>1223596379.1136565</v>
      </c>
      <c r="I156" s="97">
        <v>50400000</v>
      </c>
      <c r="J156" s="63"/>
      <c r="K156" s="63"/>
      <c r="L156" s="63"/>
      <c r="M156" s="63"/>
    </row>
    <row r="157" spans="2:13" ht="9.75" x14ac:dyDescent="0.1">
      <c r="B157" s="94">
        <v>40511</v>
      </c>
      <c r="C157" s="95" t="s">
        <v>3957</v>
      </c>
      <c r="D157" s="96">
        <v>15822</v>
      </c>
      <c r="E157" s="97">
        <v>700000000</v>
      </c>
      <c r="F157" s="96">
        <f t="shared" si="71"/>
        <v>184121048.35957983</v>
      </c>
      <c r="G157" s="98">
        <f t="shared" si="72"/>
        <v>884121048.3595798</v>
      </c>
      <c r="H157" s="98">
        <f t="shared" si="73"/>
        <v>833721048.3595798</v>
      </c>
      <c r="I157" s="97">
        <v>50400000</v>
      </c>
      <c r="J157" s="63"/>
      <c r="K157" s="63"/>
      <c r="L157" s="63"/>
      <c r="M157" s="63"/>
    </row>
    <row r="158" spans="2:13" ht="9.75" x14ac:dyDescent="0.1">
      <c r="B158" s="94">
        <v>40512</v>
      </c>
      <c r="C158" s="95" t="s">
        <v>3958</v>
      </c>
      <c r="D158" s="96">
        <v>225569</v>
      </c>
      <c r="E158" s="97">
        <v>700000000</v>
      </c>
      <c r="F158" s="96">
        <f t="shared" si="71"/>
        <v>2624952645.5202923</v>
      </c>
      <c r="G158" s="98">
        <f t="shared" si="72"/>
        <v>3324952645.5202923</v>
      </c>
      <c r="H158" s="98">
        <f t="shared" si="73"/>
        <v>3274552645.5202923</v>
      </c>
      <c r="I158" s="97">
        <v>50400000</v>
      </c>
      <c r="J158" s="63"/>
      <c r="K158" s="63"/>
      <c r="L158" s="63"/>
      <c r="M158" s="63"/>
    </row>
    <row r="159" spans="2:13" ht="9.75" x14ac:dyDescent="0.1">
      <c r="B159" s="94">
        <v>40513</v>
      </c>
      <c r="C159" s="95" t="s">
        <v>3959</v>
      </c>
      <c r="D159" s="96">
        <v>67532</v>
      </c>
      <c r="E159" s="97">
        <v>700000000</v>
      </c>
      <c r="F159" s="96">
        <f t="shared" si="71"/>
        <v>785871737.94837224</v>
      </c>
      <c r="G159" s="98">
        <f t="shared" si="72"/>
        <v>1485871737.9483724</v>
      </c>
      <c r="H159" s="98">
        <f t="shared" si="73"/>
        <v>1435471737.9483724</v>
      </c>
      <c r="I159" s="97">
        <v>50400000</v>
      </c>
      <c r="J159" s="63"/>
      <c r="K159" s="63"/>
      <c r="L159" s="63"/>
      <c r="M159" s="63"/>
    </row>
    <row r="160" spans="2:13" ht="9.75" x14ac:dyDescent="0.1">
      <c r="B160" s="88"/>
      <c r="C160" s="89" t="s">
        <v>3960</v>
      </c>
      <c r="D160" s="90">
        <f t="shared" ref="D160" si="74">D161+D176+D184+D195+D206</f>
        <v>1916277</v>
      </c>
      <c r="E160" s="90">
        <f>E161+E176+E184+E195+E206</f>
        <v>31500000000</v>
      </c>
      <c r="F160" s="90">
        <f>F161+F176+F184+F195+F206</f>
        <v>22299768056.336151</v>
      </c>
      <c r="G160" s="90">
        <f>G161+G176+G184+G195+G206</f>
        <v>53799768056.336159</v>
      </c>
      <c r="H160" s="90">
        <f t="shared" ref="H160:I160" si="75">H161+H176+H184+H195+H206</f>
        <v>51531768056.336159</v>
      </c>
      <c r="I160" s="90">
        <f t="shared" si="75"/>
        <v>2268000000</v>
      </c>
      <c r="J160" s="63"/>
      <c r="K160" s="63"/>
      <c r="L160" s="63"/>
      <c r="M160" s="63"/>
    </row>
    <row r="161" spans="2:13" ht="9.75" x14ac:dyDescent="0.1">
      <c r="B161" s="91"/>
      <c r="C161" s="92" t="s">
        <v>3961</v>
      </c>
      <c r="D161" s="93">
        <f t="shared" ref="D161" si="76">SUM(D162:D175)</f>
        <v>349383</v>
      </c>
      <c r="E161" s="93">
        <f t="shared" ref="E161:I161" si="77">SUM(E162:E175)</f>
        <v>9800000000</v>
      </c>
      <c r="F161" s="93">
        <f t="shared" si="77"/>
        <v>4065779562.5720568</v>
      </c>
      <c r="G161" s="93">
        <f t="shared" si="77"/>
        <v>13865779562.572056</v>
      </c>
      <c r="H161" s="93">
        <f t="shared" si="77"/>
        <v>13160179562.572056</v>
      </c>
      <c r="I161" s="93">
        <f t="shared" si="77"/>
        <v>705600000</v>
      </c>
      <c r="J161" s="63"/>
      <c r="K161" s="63"/>
      <c r="L161" s="63"/>
      <c r="M161" s="63"/>
    </row>
    <row r="162" spans="2:13" ht="9.75" x14ac:dyDescent="0.1">
      <c r="B162" s="94">
        <v>50101</v>
      </c>
      <c r="C162" s="95" t="s">
        <v>3962</v>
      </c>
      <c r="D162" s="96">
        <v>31227</v>
      </c>
      <c r="E162" s="97">
        <v>700000000</v>
      </c>
      <c r="F162" s="96">
        <f t="shared" ref="F162:F175" si="78">D162*$H$386</f>
        <v>363389456.27130574</v>
      </c>
      <c r="G162" s="98">
        <f t="shared" ref="G162:G175" si="79">F162+E162</f>
        <v>1063389456.2713058</v>
      </c>
      <c r="H162" s="98">
        <f t="shared" ref="H162:H175" si="80">G162-I162</f>
        <v>1012989456.2713058</v>
      </c>
      <c r="I162" s="97">
        <v>50400000</v>
      </c>
      <c r="J162" s="63"/>
      <c r="K162" s="63"/>
      <c r="L162" s="63"/>
      <c r="M162" s="63"/>
    </row>
    <row r="163" spans="2:13" ht="9.75" x14ac:dyDescent="0.1">
      <c r="B163" s="94">
        <v>50102</v>
      </c>
      <c r="C163" s="95" t="s">
        <v>3963</v>
      </c>
      <c r="D163" s="96">
        <v>40835</v>
      </c>
      <c r="E163" s="97">
        <v>700000000</v>
      </c>
      <c r="F163" s="96">
        <f t="shared" si="78"/>
        <v>475198016.03864509</v>
      </c>
      <c r="G163" s="98">
        <f t="shared" si="79"/>
        <v>1175198016.038645</v>
      </c>
      <c r="H163" s="98">
        <f t="shared" si="80"/>
        <v>1124798016.038645</v>
      </c>
      <c r="I163" s="97">
        <v>50400000</v>
      </c>
      <c r="J163" s="63"/>
      <c r="K163" s="63"/>
      <c r="L163" s="63"/>
      <c r="M163" s="63"/>
    </row>
    <row r="164" spans="2:13" ht="9.75" x14ac:dyDescent="0.1">
      <c r="B164" s="94">
        <v>50103</v>
      </c>
      <c r="C164" s="95" t="s">
        <v>3964</v>
      </c>
      <c r="D164" s="96">
        <v>13260</v>
      </c>
      <c r="E164" s="97">
        <v>700000000</v>
      </c>
      <c r="F164" s="96">
        <f t="shared" si="78"/>
        <v>154306984.02528307</v>
      </c>
      <c r="G164" s="98">
        <f t="shared" si="79"/>
        <v>854306984.0252831</v>
      </c>
      <c r="H164" s="98">
        <f t="shared" si="80"/>
        <v>803906984.0252831</v>
      </c>
      <c r="I164" s="97">
        <v>50400000</v>
      </c>
      <c r="J164" s="63"/>
      <c r="K164" s="63"/>
      <c r="L164" s="63"/>
      <c r="M164" s="63"/>
    </row>
    <row r="165" spans="2:13" ht="9.75" x14ac:dyDescent="0.1">
      <c r="B165" s="94">
        <v>50104</v>
      </c>
      <c r="C165" s="95" t="s">
        <v>3965</v>
      </c>
      <c r="D165" s="96">
        <v>11600</v>
      </c>
      <c r="E165" s="97">
        <v>700000000</v>
      </c>
      <c r="F165" s="96">
        <f t="shared" si="78"/>
        <v>134989518.45349047</v>
      </c>
      <c r="G165" s="98">
        <f t="shared" si="79"/>
        <v>834989518.4534905</v>
      </c>
      <c r="H165" s="98">
        <f t="shared" si="80"/>
        <v>784589518.4534905</v>
      </c>
      <c r="I165" s="97">
        <v>50400000</v>
      </c>
      <c r="J165" s="63"/>
      <c r="K165" s="63"/>
      <c r="L165" s="63"/>
      <c r="M165" s="63"/>
    </row>
    <row r="166" spans="2:13" ht="9.75" x14ac:dyDescent="0.1">
      <c r="B166" s="94">
        <v>50105</v>
      </c>
      <c r="C166" s="95" t="s">
        <v>3966</v>
      </c>
      <c r="D166" s="96">
        <v>26042</v>
      </c>
      <c r="E166" s="97">
        <v>700000000</v>
      </c>
      <c r="F166" s="96">
        <f t="shared" si="78"/>
        <v>303051468.9280861</v>
      </c>
      <c r="G166" s="98">
        <f t="shared" si="79"/>
        <v>1003051468.928086</v>
      </c>
      <c r="H166" s="98">
        <f t="shared" si="80"/>
        <v>952651468.92808604</v>
      </c>
      <c r="I166" s="97">
        <v>50400000</v>
      </c>
      <c r="J166" s="63"/>
      <c r="K166" s="63"/>
      <c r="L166" s="63"/>
      <c r="M166" s="63"/>
    </row>
    <row r="167" spans="2:13" ht="9.75" x14ac:dyDescent="0.1">
      <c r="B167" s="94">
        <v>50106</v>
      </c>
      <c r="C167" s="95" t="s">
        <v>3967</v>
      </c>
      <c r="D167" s="96">
        <v>15950</v>
      </c>
      <c r="E167" s="97">
        <v>700000000</v>
      </c>
      <c r="F167" s="96">
        <f t="shared" si="78"/>
        <v>185610587.87354937</v>
      </c>
      <c r="G167" s="98">
        <f t="shared" si="79"/>
        <v>885610587.87354934</v>
      </c>
      <c r="H167" s="98">
        <f t="shared" si="80"/>
        <v>835210587.87354934</v>
      </c>
      <c r="I167" s="97">
        <v>50400000</v>
      </c>
      <c r="J167" s="63"/>
      <c r="K167" s="63"/>
      <c r="L167" s="63"/>
      <c r="M167" s="63"/>
    </row>
    <row r="168" spans="2:13" ht="9.75" x14ac:dyDescent="0.1">
      <c r="B168" s="94">
        <v>50107</v>
      </c>
      <c r="C168" s="95" t="s">
        <v>3968</v>
      </c>
      <c r="D168" s="96">
        <v>53680</v>
      </c>
      <c r="E168" s="97">
        <v>700000000</v>
      </c>
      <c r="F168" s="96">
        <f t="shared" si="78"/>
        <v>624675633.67097998</v>
      </c>
      <c r="G168" s="98">
        <f t="shared" si="79"/>
        <v>1324675633.67098</v>
      </c>
      <c r="H168" s="98">
        <f t="shared" si="80"/>
        <v>1274275633.67098</v>
      </c>
      <c r="I168" s="97">
        <v>50400000</v>
      </c>
      <c r="J168" s="63"/>
      <c r="K168" s="63"/>
      <c r="L168" s="63"/>
      <c r="M168" s="63"/>
    </row>
    <row r="169" spans="2:13" ht="9.75" x14ac:dyDescent="0.1">
      <c r="B169" s="94">
        <v>50108</v>
      </c>
      <c r="C169" s="95" t="s">
        <v>3969</v>
      </c>
      <c r="D169" s="96">
        <v>16998</v>
      </c>
      <c r="E169" s="97">
        <v>700000000</v>
      </c>
      <c r="F169" s="96">
        <f t="shared" si="78"/>
        <v>197806192.64417508</v>
      </c>
      <c r="G169" s="98">
        <f t="shared" si="79"/>
        <v>897806192.64417505</v>
      </c>
      <c r="H169" s="98">
        <f t="shared" si="80"/>
        <v>847406192.64417505</v>
      </c>
      <c r="I169" s="97">
        <v>50400000</v>
      </c>
      <c r="J169" s="63"/>
      <c r="K169" s="63"/>
      <c r="L169" s="63"/>
      <c r="M169" s="63"/>
    </row>
    <row r="170" spans="2:13" ht="9.75" x14ac:dyDescent="0.1">
      <c r="B170" s="94">
        <v>50109</v>
      </c>
      <c r="C170" s="95" t="s">
        <v>3970</v>
      </c>
      <c r="D170" s="96">
        <v>18264</v>
      </c>
      <c r="E170" s="97">
        <v>700000000</v>
      </c>
      <c r="F170" s="96">
        <f t="shared" si="78"/>
        <v>212538669.39953014</v>
      </c>
      <c r="G170" s="98">
        <f t="shared" si="79"/>
        <v>912538669.39953017</v>
      </c>
      <c r="H170" s="98">
        <f t="shared" si="80"/>
        <v>862138669.39953017</v>
      </c>
      <c r="I170" s="97">
        <v>50400000</v>
      </c>
      <c r="J170" s="63"/>
      <c r="K170" s="63"/>
      <c r="L170" s="63"/>
      <c r="M170" s="63"/>
    </row>
    <row r="171" spans="2:13" ht="9.75" x14ac:dyDescent="0.1">
      <c r="B171" s="94">
        <v>50110</v>
      </c>
      <c r="C171" s="95" t="s">
        <v>3971</v>
      </c>
      <c r="D171" s="96">
        <v>25333</v>
      </c>
      <c r="E171" s="97">
        <v>700000000</v>
      </c>
      <c r="F171" s="96">
        <f t="shared" si="78"/>
        <v>294800816.46398914</v>
      </c>
      <c r="G171" s="98">
        <f t="shared" si="79"/>
        <v>994800816.46398914</v>
      </c>
      <c r="H171" s="98">
        <f t="shared" si="80"/>
        <v>944400816.46398914</v>
      </c>
      <c r="I171" s="97">
        <v>50400000</v>
      </c>
      <c r="J171" s="63"/>
      <c r="K171" s="63"/>
      <c r="L171" s="63"/>
      <c r="M171" s="63"/>
    </row>
    <row r="172" spans="2:13" ht="9.75" x14ac:dyDescent="0.1">
      <c r="B172" s="94">
        <v>50111</v>
      </c>
      <c r="C172" s="95" t="s">
        <v>3972</v>
      </c>
      <c r="D172" s="96">
        <v>31525</v>
      </c>
      <c r="E172" s="97">
        <v>700000000</v>
      </c>
      <c r="F172" s="96">
        <f t="shared" si="78"/>
        <v>366857290.4522661</v>
      </c>
      <c r="G172" s="98">
        <f t="shared" si="79"/>
        <v>1066857290.4522661</v>
      </c>
      <c r="H172" s="98">
        <f t="shared" si="80"/>
        <v>1016457290.4522661</v>
      </c>
      <c r="I172" s="97">
        <v>50400000</v>
      </c>
      <c r="J172" s="63"/>
      <c r="K172" s="63"/>
      <c r="L172" s="63"/>
      <c r="M172" s="63"/>
    </row>
    <row r="173" spans="2:13" ht="9.75" x14ac:dyDescent="0.1">
      <c r="B173" s="94">
        <v>50112</v>
      </c>
      <c r="C173" s="95" t="s">
        <v>3973</v>
      </c>
      <c r="D173" s="96">
        <v>18010</v>
      </c>
      <c r="E173" s="97">
        <v>700000000</v>
      </c>
      <c r="F173" s="96">
        <f t="shared" si="78"/>
        <v>209582864.42649683</v>
      </c>
      <c r="G173" s="98">
        <f t="shared" si="79"/>
        <v>909582864.42649686</v>
      </c>
      <c r="H173" s="98">
        <f t="shared" si="80"/>
        <v>859182864.42649686</v>
      </c>
      <c r="I173" s="97">
        <v>50400000</v>
      </c>
      <c r="J173" s="63"/>
      <c r="K173" s="63"/>
      <c r="L173" s="63"/>
      <c r="M173" s="63"/>
    </row>
    <row r="174" spans="2:13" ht="9.75" x14ac:dyDescent="0.1">
      <c r="B174" s="94">
        <v>50113</v>
      </c>
      <c r="C174" s="95" t="s">
        <v>3974</v>
      </c>
      <c r="D174" s="96">
        <v>30332</v>
      </c>
      <c r="E174" s="97">
        <v>700000000</v>
      </c>
      <c r="F174" s="96">
        <f t="shared" si="78"/>
        <v>352974316.70097178</v>
      </c>
      <c r="G174" s="98">
        <f t="shared" si="79"/>
        <v>1052974316.7009718</v>
      </c>
      <c r="H174" s="98">
        <f t="shared" si="80"/>
        <v>1002574316.7009718</v>
      </c>
      <c r="I174" s="97">
        <v>50400000</v>
      </c>
      <c r="J174" s="63"/>
      <c r="K174" s="63"/>
      <c r="L174" s="63"/>
      <c r="M174" s="63"/>
    </row>
    <row r="175" spans="2:13" ht="9.75" x14ac:dyDescent="0.1">
      <c r="B175" s="94">
        <v>50114</v>
      </c>
      <c r="C175" s="95" t="s">
        <v>3975</v>
      </c>
      <c r="D175" s="96">
        <v>16327</v>
      </c>
      <c r="E175" s="97">
        <v>700000000</v>
      </c>
      <c r="F175" s="96">
        <f t="shared" si="78"/>
        <v>189997747.22328782</v>
      </c>
      <c r="G175" s="98">
        <f t="shared" si="79"/>
        <v>889997747.22328782</v>
      </c>
      <c r="H175" s="98">
        <f t="shared" si="80"/>
        <v>839597747.22328782</v>
      </c>
      <c r="I175" s="97">
        <v>50400000</v>
      </c>
      <c r="J175" s="63"/>
      <c r="K175" s="63"/>
      <c r="L175" s="63"/>
      <c r="M175" s="63"/>
    </row>
    <row r="176" spans="2:13" ht="9.75" x14ac:dyDescent="0.1">
      <c r="B176" s="91"/>
      <c r="C176" s="92" t="s">
        <v>3976</v>
      </c>
      <c r="D176" s="93">
        <f t="shared" ref="D176" si="81">SUM(D177:D183)</f>
        <v>405454</v>
      </c>
      <c r="E176" s="93">
        <f>SUM(E177:E183)</f>
        <v>4900000000</v>
      </c>
      <c r="F176" s="93">
        <f>SUM(F177:F183)</f>
        <v>4718279328.8828897</v>
      </c>
      <c r="G176" s="93">
        <f>SUM(G177:G183)</f>
        <v>9618279328.8828907</v>
      </c>
      <c r="H176" s="93">
        <f t="shared" ref="H176:I176" si="82">SUM(H177:H183)</f>
        <v>9265479328.8828907</v>
      </c>
      <c r="I176" s="93">
        <f t="shared" si="82"/>
        <v>352800000</v>
      </c>
      <c r="J176" s="63"/>
      <c r="K176" s="63"/>
      <c r="L176" s="63"/>
      <c r="M176" s="63"/>
    </row>
    <row r="177" spans="2:13" ht="9.75" x14ac:dyDescent="0.1">
      <c r="B177" s="94">
        <v>50201</v>
      </c>
      <c r="C177" s="95" t="s">
        <v>3977</v>
      </c>
      <c r="D177" s="96">
        <v>13089</v>
      </c>
      <c r="E177" s="97">
        <v>700000000</v>
      </c>
      <c r="F177" s="96">
        <f t="shared" ref="F177:F183" si="83">D177*$H$386</f>
        <v>152317052.33083937</v>
      </c>
      <c r="G177" s="98">
        <f t="shared" ref="G177:G183" si="84">F177+E177</f>
        <v>852317052.3308394</v>
      </c>
      <c r="H177" s="98">
        <f t="shared" ref="H177:H194" si="85">G177-I177</f>
        <v>801917052.3308394</v>
      </c>
      <c r="I177" s="97">
        <v>50400000</v>
      </c>
      <c r="J177" s="63"/>
      <c r="K177" s="63"/>
      <c r="L177" s="63"/>
      <c r="M177" s="63"/>
    </row>
    <row r="178" spans="2:13" ht="9.75" x14ac:dyDescent="0.1">
      <c r="B178" s="94">
        <v>50202</v>
      </c>
      <c r="C178" s="95" t="s">
        <v>3978</v>
      </c>
      <c r="D178" s="96">
        <v>209327</v>
      </c>
      <c r="E178" s="97">
        <v>700000000</v>
      </c>
      <c r="F178" s="96">
        <f t="shared" si="83"/>
        <v>2435944045.6304998</v>
      </c>
      <c r="G178" s="98">
        <f t="shared" si="84"/>
        <v>3135944045.6304998</v>
      </c>
      <c r="H178" s="98">
        <f t="shared" si="85"/>
        <v>3085544045.6304998</v>
      </c>
      <c r="I178" s="97">
        <v>50400000</v>
      </c>
      <c r="J178" s="63"/>
      <c r="K178" s="63"/>
      <c r="L178" s="63"/>
      <c r="M178" s="63"/>
    </row>
    <row r="179" spans="2:13" ht="9.75" x14ac:dyDescent="0.1">
      <c r="B179" s="94">
        <v>50203</v>
      </c>
      <c r="C179" s="95" t="s">
        <v>3979</v>
      </c>
      <c r="D179" s="96">
        <v>13534</v>
      </c>
      <c r="E179" s="97">
        <v>700000000</v>
      </c>
      <c r="F179" s="96">
        <f t="shared" si="83"/>
        <v>157495529.54737413</v>
      </c>
      <c r="G179" s="98">
        <f t="shared" si="84"/>
        <v>857495529.54737413</v>
      </c>
      <c r="H179" s="98">
        <f t="shared" si="85"/>
        <v>807095529.54737413</v>
      </c>
      <c r="I179" s="97">
        <v>50400000</v>
      </c>
      <c r="J179" s="63"/>
      <c r="K179" s="63"/>
      <c r="L179" s="63"/>
      <c r="M179" s="63"/>
    </row>
    <row r="180" spans="2:13" ht="9.75" x14ac:dyDescent="0.1">
      <c r="B180" s="94">
        <v>50204</v>
      </c>
      <c r="C180" s="95" t="s">
        <v>3980</v>
      </c>
      <c r="D180" s="96">
        <v>31343</v>
      </c>
      <c r="E180" s="97">
        <v>700000000</v>
      </c>
      <c r="F180" s="96">
        <f t="shared" si="83"/>
        <v>364739351.45584065</v>
      </c>
      <c r="G180" s="98">
        <f t="shared" si="84"/>
        <v>1064739351.4558406</v>
      </c>
      <c r="H180" s="98">
        <f t="shared" si="85"/>
        <v>1014339351.4558406</v>
      </c>
      <c r="I180" s="97">
        <v>50400000</v>
      </c>
      <c r="J180" s="63"/>
      <c r="K180" s="63"/>
      <c r="L180" s="63"/>
      <c r="M180" s="63"/>
    </row>
    <row r="181" spans="2:13" ht="9.75" x14ac:dyDescent="0.1">
      <c r="B181" s="94">
        <v>50205</v>
      </c>
      <c r="C181" s="95" t="s">
        <v>3981</v>
      </c>
      <c r="D181" s="96">
        <v>19229</v>
      </c>
      <c r="E181" s="97">
        <v>700000000</v>
      </c>
      <c r="F181" s="96">
        <f t="shared" si="83"/>
        <v>223768400.89156622</v>
      </c>
      <c r="G181" s="98">
        <f t="shared" si="84"/>
        <v>923768400.89156628</v>
      </c>
      <c r="H181" s="98">
        <f t="shared" si="85"/>
        <v>873368400.89156628</v>
      </c>
      <c r="I181" s="97">
        <v>50400000</v>
      </c>
      <c r="J181" s="63"/>
      <c r="K181" s="63"/>
      <c r="L181" s="63"/>
      <c r="M181" s="63"/>
    </row>
    <row r="182" spans="2:13" ht="9.75" x14ac:dyDescent="0.1">
      <c r="B182" s="94">
        <v>50206</v>
      </c>
      <c r="C182" s="95" t="s">
        <v>3830</v>
      </c>
      <c r="D182" s="96">
        <v>59050</v>
      </c>
      <c r="E182" s="97">
        <v>700000000</v>
      </c>
      <c r="F182" s="96">
        <f t="shared" si="83"/>
        <v>687166471.09298372</v>
      </c>
      <c r="G182" s="98">
        <f t="shared" si="84"/>
        <v>1387166471.0929837</v>
      </c>
      <c r="H182" s="98">
        <f t="shared" si="85"/>
        <v>1336766471.0929837</v>
      </c>
      <c r="I182" s="97">
        <v>50400000</v>
      </c>
      <c r="J182" s="63"/>
      <c r="K182" s="63"/>
      <c r="L182" s="63"/>
      <c r="M182" s="63"/>
    </row>
    <row r="183" spans="2:13" ht="9.75" x14ac:dyDescent="0.1">
      <c r="B183" s="94">
        <v>50207</v>
      </c>
      <c r="C183" s="95" t="s">
        <v>3982</v>
      </c>
      <c r="D183" s="96">
        <v>59882</v>
      </c>
      <c r="E183" s="97">
        <v>700000000</v>
      </c>
      <c r="F183" s="96">
        <f t="shared" si="83"/>
        <v>696848477.9337858</v>
      </c>
      <c r="G183" s="98">
        <f t="shared" si="84"/>
        <v>1396848477.9337859</v>
      </c>
      <c r="H183" s="98">
        <f t="shared" si="85"/>
        <v>1346448477.9337859</v>
      </c>
      <c r="I183" s="97">
        <v>50400000</v>
      </c>
      <c r="J183" s="63"/>
      <c r="K183" s="63"/>
      <c r="L183" s="63"/>
      <c r="M183" s="63"/>
    </row>
    <row r="184" spans="2:13" ht="9.75" x14ac:dyDescent="0.1">
      <c r="B184" s="91"/>
      <c r="C184" s="92" t="s">
        <v>3983</v>
      </c>
      <c r="D184" s="93">
        <f t="shared" ref="D184" si="86">SUM(D185:D194)</f>
        <v>539421</v>
      </c>
      <c r="E184" s="93">
        <f>SUM(E185:E194)</f>
        <v>7000000000</v>
      </c>
      <c r="F184" s="93">
        <f>SUM(F185:F194)</f>
        <v>6277256985.6638184</v>
      </c>
      <c r="G184" s="93">
        <f>SUM(G185:G194)</f>
        <v>13277256985.663818</v>
      </c>
      <c r="H184" s="93">
        <f t="shared" ref="H184:I184" si="87">SUM(H185:H194)</f>
        <v>12773256985.663818</v>
      </c>
      <c r="I184" s="93">
        <f t="shared" si="87"/>
        <v>504000000</v>
      </c>
      <c r="J184" s="63"/>
      <c r="K184" s="63"/>
      <c r="L184" s="63"/>
      <c r="M184" s="63"/>
    </row>
    <row r="185" spans="2:13" ht="9.75" x14ac:dyDescent="0.1">
      <c r="B185" s="94">
        <v>50301</v>
      </c>
      <c r="C185" s="95" t="s">
        <v>3984</v>
      </c>
      <c r="D185" s="96">
        <v>65038</v>
      </c>
      <c r="E185" s="97">
        <v>700000000</v>
      </c>
      <c r="F185" s="96">
        <f t="shared" ref="F185:F194" si="88">D185*$H$386</f>
        <v>756848991.4808718</v>
      </c>
      <c r="G185" s="98">
        <f t="shared" ref="G185:G194" si="89">F185+E185</f>
        <v>1456848991.4808717</v>
      </c>
      <c r="H185" s="98">
        <f t="shared" si="85"/>
        <v>1406448991.4808717</v>
      </c>
      <c r="I185" s="97">
        <v>50400000</v>
      </c>
      <c r="J185" s="63"/>
      <c r="K185" s="63"/>
      <c r="L185" s="63"/>
      <c r="M185" s="63"/>
    </row>
    <row r="186" spans="2:13" ht="9.75" x14ac:dyDescent="0.1">
      <c r="B186" s="94">
        <v>50302</v>
      </c>
      <c r="C186" s="95" t="s">
        <v>3985</v>
      </c>
      <c r="D186" s="96">
        <v>31324</v>
      </c>
      <c r="E186" s="97">
        <v>700000000</v>
      </c>
      <c r="F186" s="96">
        <f t="shared" si="88"/>
        <v>364518247.93423581</v>
      </c>
      <c r="G186" s="98">
        <f t="shared" si="89"/>
        <v>1064518247.9342358</v>
      </c>
      <c r="H186" s="98">
        <f t="shared" si="85"/>
        <v>1014118247.9342358</v>
      </c>
      <c r="I186" s="97">
        <v>50400000</v>
      </c>
      <c r="J186" s="63"/>
      <c r="K186" s="63"/>
      <c r="L186" s="63"/>
      <c r="M186" s="63"/>
    </row>
    <row r="187" spans="2:13" ht="9.75" x14ac:dyDescent="0.1">
      <c r="B187" s="94">
        <v>50303</v>
      </c>
      <c r="C187" s="95" t="s">
        <v>3986</v>
      </c>
      <c r="D187" s="96">
        <v>41769</v>
      </c>
      <c r="E187" s="97">
        <v>700000000</v>
      </c>
      <c r="F187" s="96">
        <f t="shared" si="88"/>
        <v>486066999.67964166</v>
      </c>
      <c r="G187" s="98">
        <f t="shared" si="89"/>
        <v>1186066999.6796417</v>
      </c>
      <c r="H187" s="98">
        <f t="shared" si="85"/>
        <v>1135666999.6796417</v>
      </c>
      <c r="I187" s="97">
        <v>50400000</v>
      </c>
      <c r="J187" s="63"/>
      <c r="K187" s="63"/>
      <c r="L187" s="63"/>
      <c r="M187" s="63"/>
    </row>
    <row r="188" spans="2:13" ht="9.75" x14ac:dyDescent="0.1">
      <c r="B188" s="94">
        <v>50304</v>
      </c>
      <c r="C188" s="95" t="s">
        <v>3987</v>
      </c>
      <c r="D188" s="96">
        <v>209452</v>
      </c>
      <c r="E188" s="97">
        <v>700000000</v>
      </c>
      <c r="F188" s="96">
        <f t="shared" si="88"/>
        <v>2437398674.0621109</v>
      </c>
      <c r="G188" s="98">
        <f t="shared" si="89"/>
        <v>3137398674.0621109</v>
      </c>
      <c r="H188" s="98">
        <f t="shared" si="85"/>
        <v>3086998674.0621109</v>
      </c>
      <c r="I188" s="97">
        <v>50400000</v>
      </c>
      <c r="J188" s="63"/>
      <c r="K188" s="63"/>
      <c r="L188" s="63"/>
      <c r="M188" s="63"/>
    </row>
    <row r="189" spans="2:13" ht="9.75" x14ac:dyDescent="0.1">
      <c r="B189" s="94">
        <v>50305</v>
      </c>
      <c r="C189" s="95" t="s">
        <v>3988</v>
      </c>
      <c r="D189" s="96">
        <v>38480</v>
      </c>
      <c r="E189" s="97">
        <v>700000000</v>
      </c>
      <c r="F189" s="96">
        <f t="shared" si="88"/>
        <v>447792816.38709593</v>
      </c>
      <c r="G189" s="98">
        <f t="shared" si="89"/>
        <v>1147792816.3870959</v>
      </c>
      <c r="H189" s="98">
        <f t="shared" si="85"/>
        <v>1097392816.3870959</v>
      </c>
      <c r="I189" s="97">
        <v>50400000</v>
      </c>
      <c r="J189" s="63"/>
      <c r="K189" s="63"/>
      <c r="L189" s="63"/>
      <c r="M189" s="63"/>
    </row>
    <row r="190" spans="2:13" ht="9.75" x14ac:dyDescent="0.1">
      <c r="B190" s="94">
        <v>50306</v>
      </c>
      <c r="C190" s="95" t="s">
        <v>3989</v>
      </c>
      <c r="D190" s="96">
        <v>28646</v>
      </c>
      <c r="E190" s="97">
        <v>700000000</v>
      </c>
      <c r="F190" s="96">
        <f t="shared" si="88"/>
        <v>333354288.41540414</v>
      </c>
      <c r="G190" s="98">
        <f t="shared" si="89"/>
        <v>1033354288.4154041</v>
      </c>
      <c r="H190" s="98">
        <f t="shared" si="85"/>
        <v>982954288.41540408</v>
      </c>
      <c r="I190" s="97">
        <v>50400000</v>
      </c>
      <c r="J190" s="63"/>
      <c r="K190" s="63"/>
      <c r="L190" s="63"/>
      <c r="M190" s="63"/>
    </row>
    <row r="191" spans="2:13" ht="9.75" x14ac:dyDescent="0.1">
      <c r="B191" s="94">
        <v>50307</v>
      </c>
      <c r="C191" s="95" t="s">
        <v>3990</v>
      </c>
      <c r="D191" s="96">
        <v>32566</v>
      </c>
      <c r="E191" s="97">
        <v>700000000</v>
      </c>
      <c r="F191" s="96">
        <f t="shared" si="88"/>
        <v>378971436.0307216</v>
      </c>
      <c r="G191" s="98">
        <f t="shared" si="89"/>
        <v>1078971436.0307217</v>
      </c>
      <c r="H191" s="98">
        <f t="shared" si="85"/>
        <v>1028571436.0307217</v>
      </c>
      <c r="I191" s="97">
        <v>50400000</v>
      </c>
      <c r="J191" s="63"/>
      <c r="K191" s="63"/>
      <c r="L191" s="63"/>
      <c r="M191" s="63"/>
    </row>
    <row r="192" spans="2:13" ht="9.75" x14ac:dyDescent="0.1">
      <c r="B192" s="94">
        <v>50308</v>
      </c>
      <c r="C192" s="95" t="s">
        <v>3991</v>
      </c>
      <c r="D192" s="96">
        <v>14881</v>
      </c>
      <c r="E192" s="97">
        <v>700000000</v>
      </c>
      <c r="F192" s="96">
        <f t="shared" si="88"/>
        <v>173170605.52641305</v>
      </c>
      <c r="G192" s="98">
        <f t="shared" si="89"/>
        <v>873170605.52641308</v>
      </c>
      <c r="H192" s="98">
        <f t="shared" si="85"/>
        <v>822770605.52641308</v>
      </c>
      <c r="I192" s="97">
        <v>50400000</v>
      </c>
      <c r="J192" s="63"/>
      <c r="K192" s="63"/>
      <c r="L192" s="63"/>
      <c r="M192" s="63"/>
    </row>
    <row r="193" spans="2:13" ht="9.75" x14ac:dyDescent="0.1">
      <c r="B193" s="94">
        <v>50309</v>
      </c>
      <c r="C193" s="95" t="s">
        <v>3992</v>
      </c>
      <c r="D193" s="96">
        <v>26166</v>
      </c>
      <c r="E193" s="97">
        <v>700000000</v>
      </c>
      <c r="F193" s="96">
        <f t="shared" si="88"/>
        <v>304494460.3322441</v>
      </c>
      <c r="G193" s="98">
        <f t="shared" si="89"/>
        <v>1004494460.3322442</v>
      </c>
      <c r="H193" s="98">
        <f t="shared" si="85"/>
        <v>954094460.33224416</v>
      </c>
      <c r="I193" s="97">
        <v>50400000</v>
      </c>
      <c r="J193" s="63"/>
      <c r="K193" s="63"/>
      <c r="L193" s="63"/>
      <c r="M193" s="63"/>
    </row>
    <row r="194" spans="2:13" ht="9.75" x14ac:dyDescent="0.1">
      <c r="B194" s="94">
        <v>50310</v>
      </c>
      <c r="C194" s="95" t="s">
        <v>3993</v>
      </c>
      <c r="D194" s="96">
        <v>51099</v>
      </c>
      <c r="E194" s="97">
        <v>700000000</v>
      </c>
      <c r="F194" s="96">
        <f t="shared" si="88"/>
        <v>594640465.81507838</v>
      </c>
      <c r="G194" s="98">
        <f t="shared" si="89"/>
        <v>1294640465.8150783</v>
      </c>
      <c r="H194" s="98">
        <f t="shared" si="85"/>
        <v>1244240465.8150783</v>
      </c>
      <c r="I194" s="97">
        <v>50400000</v>
      </c>
      <c r="J194" s="63"/>
      <c r="K194" s="63"/>
      <c r="L194" s="63"/>
      <c r="M194" s="63"/>
    </row>
    <row r="195" spans="2:13" ht="9.75" x14ac:dyDescent="0.1">
      <c r="B195" s="91"/>
      <c r="C195" s="92" t="s">
        <v>3994</v>
      </c>
      <c r="D195" s="93">
        <f t="shared" ref="D195" si="90">SUM(D196:D205)</f>
        <v>298264</v>
      </c>
      <c r="E195" s="93">
        <f>SUM(E196:E205)</f>
        <v>7000000000</v>
      </c>
      <c r="F195" s="93">
        <f>SUM(F196:F205)</f>
        <v>3470906356.2079206</v>
      </c>
      <c r="G195" s="93">
        <f>SUM(G196:G205)</f>
        <v>10470906356.20792</v>
      </c>
      <c r="H195" s="93">
        <f t="shared" ref="H195:I195" si="91">SUM(H196:H205)</f>
        <v>9966906356.2079201</v>
      </c>
      <c r="I195" s="93">
        <f t="shared" si="91"/>
        <v>504000000</v>
      </c>
      <c r="J195" s="63"/>
      <c r="K195" s="63"/>
      <c r="L195" s="63"/>
      <c r="M195" s="63"/>
    </row>
    <row r="196" spans="2:13" ht="9.75" x14ac:dyDescent="0.1">
      <c r="B196" s="94">
        <v>50401</v>
      </c>
      <c r="C196" s="95" t="s">
        <v>3995</v>
      </c>
      <c r="D196" s="96">
        <v>18209</v>
      </c>
      <c r="E196" s="97">
        <v>700000000</v>
      </c>
      <c r="F196" s="96">
        <f t="shared" ref="F196:F205" si="92">D196*$H$386</f>
        <v>211898632.88962135</v>
      </c>
      <c r="G196" s="98">
        <f t="shared" ref="G196:G205" si="93">F196+E196</f>
        <v>911898632.88962138</v>
      </c>
      <c r="H196" s="98">
        <f t="shared" ref="H196:H205" si="94">G196-I196</f>
        <v>861498632.88962138</v>
      </c>
      <c r="I196" s="97">
        <v>50400000</v>
      </c>
      <c r="J196" s="63"/>
      <c r="K196" s="63"/>
      <c r="L196" s="63"/>
      <c r="M196" s="63"/>
    </row>
    <row r="197" spans="2:13" ht="9.75" x14ac:dyDescent="0.1">
      <c r="B197" s="94">
        <v>50402</v>
      </c>
      <c r="C197" s="95" t="s">
        <v>3996</v>
      </c>
      <c r="D197" s="96">
        <v>29656</v>
      </c>
      <c r="E197" s="97">
        <v>700000000</v>
      </c>
      <c r="F197" s="96">
        <f t="shared" si="92"/>
        <v>345107686.14282012</v>
      </c>
      <c r="G197" s="98">
        <f t="shared" si="93"/>
        <v>1045107686.1428201</v>
      </c>
      <c r="H197" s="98">
        <f t="shared" si="94"/>
        <v>994707686.14282012</v>
      </c>
      <c r="I197" s="97">
        <v>50400000</v>
      </c>
      <c r="J197" s="63"/>
      <c r="K197" s="63"/>
      <c r="L197" s="63"/>
      <c r="M197" s="63"/>
    </row>
    <row r="198" spans="2:13" ht="9.75" x14ac:dyDescent="0.1">
      <c r="B198" s="94">
        <v>50403</v>
      </c>
      <c r="C198" s="95" t="s">
        <v>3997</v>
      </c>
      <c r="D198" s="96">
        <v>40624</v>
      </c>
      <c r="E198" s="97">
        <v>700000000</v>
      </c>
      <c r="F198" s="96">
        <f t="shared" si="92"/>
        <v>472742603.24608588</v>
      </c>
      <c r="G198" s="98">
        <f t="shared" si="93"/>
        <v>1172742603.2460859</v>
      </c>
      <c r="H198" s="98">
        <f t="shared" si="94"/>
        <v>1122342603.2460859</v>
      </c>
      <c r="I198" s="97">
        <v>50400000</v>
      </c>
      <c r="J198" s="63"/>
      <c r="K198" s="63"/>
      <c r="L198" s="63"/>
      <c r="M198" s="63"/>
    </row>
    <row r="199" spans="2:13" ht="9.75" x14ac:dyDescent="0.1">
      <c r="B199" s="94">
        <v>50404</v>
      </c>
      <c r="C199" s="95" t="s">
        <v>3998</v>
      </c>
      <c r="D199" s="96">
        <v>24900</v>
      </c>
      <c r="E199" s="97">
        <v>700000000</v>
      </c>
      <c r="F199" s="96">
        <f t="shared" si="92"/>
        <v>289761983.57688898</v>
      </c>
      <c r="G199" s="98">
        <f t="shared" si="93"/>
        <v>989761983.57688904</v>
      </c>
      <c r="H199" s="98">
        <f t="shared" si="94"/>
        <v>939361983.57688904</v>
      </c>
      <c r="I199" s="97">
        <v>50400000</v>
      </c>
      <c r="J199" s="63"/>
      <c r="K199" s="63"/>
      <c r="L199" s="63"/>
      <c r="M199" s="63"/>
    </row>
    <row r="200" spans="2:13" ht="9.75" x14ac:dyDescent="0.1">
      <c r="B200" s="94">
        <v>50405</v>
      </c>
      <c r="C200" s="95" t="s">
        <v>3999</v>
      </c>
      <c r="D200" s="96">
        <v>24689</v>
      </c>
      <c r="E200" s="97">
        <v>700000000</v>
      </c>
      <c r="F200" s="96">
        <f t="shared" si="92"/>
        <v>287306570.78432983</v>
      </c>
      <c r="G200" s="98">
        <f t="shared" si="93"/>
        <v>987306570.78432989</v>
      </c>
      <c r="H200" s="98">
        <f t="shared" si="94"/>
        <v>936906570.78432989</v>
      </c>
      <c r="I200" s="97">
        <v>50400000</v>
      </c>
      <c r="J200" s="63"/>
      <c r="K200" s="63"/>
      <c r="L200" s="63"/>
      <c r="M200" s="63"/>
    </row>
    <row r="201" spans="2:13" ht="9.75" x14ac:dyDescent="0.1">
      <c r="B201" s="94">
        <v>50406</v>
      </c>
      <c r="C201" s="95" t="s">
        <v>4000</v>
      </c>
      <c r="D201" s="96">
        <v>11538</v>
      </c>
      <c r="E201" s="97">
        <v>700000000</v>
      </c>
      <c r="F201" s="96">
        <f t="shared" si="92"/>
        <v>134268022.75141147</v>
      </c>
      <c r="G201" s="98">
        <f t="shared" si="93"/>
        <v>834268022.75141144</v>
      </c>
      <c r="H201" s="98">
        <f t="shared" si="94"/>
        <v>783868022.75141144</v>
      </c>
      <c r="I201" s="97">
        <v>50400000</v>
      </c>
      <c r="J201" s="63"/>
      <c r="K201" s="63"/>
      <c r="L201" s="63"/>
      <c r="M201" s="63"/>
    </row>
    <row r="202" spans="2:13" ht="9.75" x14ac:dyDescent="0.1">
      <c r="B202" s="94">
        <v>50407</v>
      </c>
      <c r="C202" s="95" t="s">
        <v>4001</v>
      </c>
      <c r="D202" s="96">
        <v>23684</v>
      </c>
      <c r="E202" s="97">
        <v>700000000</v>
      </c>
      <c r="F202" s="96">
        <f t="shared" si="92"/>
        <v>275611358.19417828</v>
      </c>
      <c r="G202" s="98">
        <f t="shared" si="93"/>
        <v>975611358.19417834</v>
      </c>
      <c r="H202" s="98">
        <f t="shared" si="94"/>
        <v>925211358.19417834</v>
      </c>
      <c r="I202" s="97">
        <v>50400000</v>
      </c>
      <c r="J202" s="63"/>
      <c r="K202" s="63"/>
      <c r="L202" s="63"/>
      <c r="M202" s="63"/>
    </row>
    <row r="203" spans="2:13" ht="9.75" x14ac:dyDescent="0.1">
      <c r="B203" s="94">
        <v>50408</v>
      </c>
      <c r="C203" s="95" t="s">
        <v>4002</v>
      </c>
      <c r="D203" s="96">
        <v>53675</v>
      </c>
      <c r="E203" s="97">
        <v>700000000</v>
      </c>
      <c r="F203" s="96">
        <f t="shared" si="92"/>
        <v>624617448.53371561</v>
      </c>
      <c r="G203" s="98">
        <f t="shared" si="93"/>
        <v>1324617448.5337157</v>
      </c>
      <c r="H203" s="98">
        <f t="shared" si="94"/>
        <v>1274217448.5337157</v>
      </c>
      <c r="I203" s="97">
        <v>50400000</v>
      </c>
      <c r="J203" s="63"/>
      <c r="K203" s="63"/>
      <c r="L203" s="63"/>
      <c r="M203" s="63"/>
    </row>
    <row r="204" spans="2:13" ht="9.75" x14ac:dyDescent="0.1">
      <c r="B204" s="94">
        <v>50409</v>
      </c>
      <c r="C204" s="95" t="s">
        <v>4003</v>
      </c>
      <c r="D204" s="96">
        <v>46529</v>
      </c>
      <c r="E204" s="97">
        <v>700000000</v>
      </c>
      <c r="F204" s="96">
        <f t="shared" si="92"/>
        <v>541459250.35538423</v>
      </c>
      <c r="G204" s="98">
        <f t="shared" si="93"/>
        <v>1241459250.3553843</v>
      </c>
      <c r="H204" s="98">
        <f t="shared" si="94"/>
        <v>1191059250.3553843</v>
      </c>
      <c r="I204" s="97">
        <v>50400000</v>
      </c>
      <c r="J204" s="63"/>
      <c r="K204" s="63"/>
      <c r="L204" s="63"/>
      <c r="M204" s="63"/>
    </row>
    <row r="205" spans="2:13" ht="9.75" x14ac:dyDescent="0.1">
      <c r="B205" s="94">
        <v>50410</v>
      </c>
      <c r="C205" s="95" t="s">
        <v>4004</v>
      </c>
      <c r="D205" s="96">
        <v>24760</v>
      </c>
      <c r="E205" s="97">
        <v>700000000</v>
      </c>
      <c r="F205" s="96">
        <f t="shared" si="92"/>
        <v>288132799.7334848</v>
      </c>
      <c r="G205" s="98">
        <f t="shared" si="93"/>
        <v>988132799.73348475</v>
      </c>
      <c r="H205" s="98">
        <f t="shared" si="94"/>
        <v>937732799.73348475</v>
      </c>
      <c r="I205" s="97">
        <v>50400000</v>
      </c>
      <c r="J205" s="63"/>
      <c r="K205" s="63"/>
      <c r="L205" s="63"/>
      <c r="M205" s="63"/>
    </row>
    <row r="206" spans="2:13" ht="9.75" x14ac:dyDescent="0.1">
      <c r="B206" s="91"/>
      <c r="C206" s="92" t="s">
        <v>4005</v>
      </c>
      <c r="D206" s="93">
        <f t="shared" ref="D206" si="95">SUM(D207:D210)</f>
        <v>323755</v>
      </c>
      <c r="E206" s="93">
        <f>SUM(E207:E210)</f>
        <v>2800000000</v>
      </c>
      <c r="F206" s="93">
        <f>SUM(F207:F210)</f>
        <v>3767545823.0094662</v>
      </c>
      <c r="G206" s="93">
        <f>SUM(G207:G210)</f>
        <v>6567545823.0094662</v>
      </c>
      <c r="H206" s="93">
        <f t="shared" ref="H206:I206" si="96">SUM(H207:H210)</f>
        <v>6365945823.0094662</v>
      </c>
      <c r="I206" s="93">
        <f t="shared" si="96"/>
        <v>201600000</v>
      </c>
      <c r="J206" s="63"/>
      <c r="K206" s="63"/>
      <c r="L206" s="63"/>
      <c r="M206" s="63"/>
    </row>
    <row r="207" spans="2:13" ht="9.75" x14ac:dyDescent="0.1">
      <c r="B207" s="94">
        <v>50501</v>
      </c>
      <c r="C207" s="95" t="s">
        <v>4006</v>
      </c>
      <c r="D207" s="96">
        <v>60922</v>
      </c>
      <c r="E207" s="97">
        <v>700000000</v>
      </c>
      <c r="F207" s="96">
        <f>D207*$H$386</f>
        <v>708950986.48478842</v>
      </c>
      <c r="G207" s="98">
        <f>F207+E207</f>
        <v>1408950986.4847884</v>
      </c>
      <c r="H207" s="98">
        <f t="shared" ref="H207:H210" si="97">G207-I207</f>
        <v>1358550986.4847884</v>
      </c>
      <c r="I207" s="97">
        <v>50400000</v>
      </c>
      <c r="J207" s="63"/>
      <c r="K207" s="63"/>
      <c r="L207" s="63"/>
      <c r="M207" s="63"/>
    </row>
    <row r="208" spans="2:13" ht="9.75" x14ac:dyDescent="0.1">
      <c r="B208" s="94">
        <v>50502</v>
      </c>
      <c r="C208" s="95" t="s">
        <v>4007</v>
      </c>
      <c r="D208" s="96">
        <v>12300</v>
      </c>
      <c r="E208" s="97">
        <v>700000000</v>
      </c>
      <c r="F208" s="96">
        <f>D208*$H$386</f>
        <v>143135437.67051142</v>
      </c>
      <c r="G208" s="98">
        <f>F208+E208</f>
        <v>843135437.67051148</v>
      </c>
      <c r="H208" s="98">
        <f t="shared" si="97"/>
        <v>792735437.67051148</v>
      </c>
      <c r="I208" s="97">
        <v>50400000</v>
      </c>
      <c r="J208" s="63"/>
      <c r="K208" s="63"/>
      <c r="L208" s="63"/>
      <c r="M208" s="63"/>
    </row>
    <row r="209" spans="2:13" ht="9.75" x14ac:dyDescent="0.1">
      <c r="B209" s="94">
        <v>50503</v>
      </c>
      <c r="C209" s="95" t="s">
        <v>4008</v>
      </c>
      <c r="D209" s="96">
        <v>205663</v>
      </c>
      <c r="E209" s="97">
        <v>700000000</v>
      </c>
      <c r="F209" s="96">
        <f>D209*$H$386</f>
        <v>2393305977.0431213</v>
      </c>
      <c r="G209" s="98">
        <f>F209+E209</f>
        <v>3093305977.0431213</v>
      </c>
      <c r="H209" s="98">
        <f t="shared" si="97"/>
        <v>3042905977.0431213</v>
      </c>
      <c r="I209" s="97">
        <v>50400000</v>
      </c>
      <c r="J209" s="63"/>
      <c r="K209" s="63"/>
      <c r="L209" s="63"/>
      <c r="M209" s="63"/>
    </row>
    <row r="210" spans="2:13" ht="9.75" x14ac:dyDescent="0.1">
      <c r="B210" s="94">
        <v>50504</v>
      </c>
      <c r="C210" s="95" t="s">
        <v>4009</v>
      </c>
      <c r="D210" s="96">
        <v>44870</v>
      </c>
      <c r="E210" s="97">
        <v>700000000</v>
      </c>
      <c r="F210" s="96">
        <f>D210*$H$386</f>
        <v>522153421.81104457</v>
      </c>
      <c r="G210" s="98">
        <f>F210+E210</f>
        <v>1222153421.8110447</v>
      </c>
      <c r="H210" s="98">
        <f t="shared" si="97"/>
        <v>1171753421.8110447</v>
      </c>
      <c r="I210" s="97">
        <v>50400000</v>
      </c>
      <c r="J210" s="63"/>
      <c r="K210" s="63"/>
      <c r="L210" s="63"/>
      <c r="M210" s="63"/>
    </row>
    <row r="211" spans="2:13" ht="9.75" x14ac:dyDescent="0.1">
      <c r="B211" s="88"/>
      <c r="C211" s="89" t="s">
        <v>4010</v>
      </c>
      <c r="D211" s="90">
        <f t="shared" ref="D211" si="98">D212+D226+D240+D252+D263</f>
        <v>1219387</v>
      </c>
      <c r="E211" s="90">
        <f>E212+E226+E240+E252+E263</f>
        <v>37100000000</v>
      </c>
      <c r="F211" s="90">
        <f>F212+F226+F240+F252+F263</f>
        <v>14190039994.693653</v>
      </c>
      <c r="G211" s="90">
        <f>G212+G226+G240+G252+G263</f>
        <v>51290039994.693649</v>
      </c>
      <c r="H211" s="90">
        <f t="shared" ref="H211:I211" si="99">H212+H226+H240+H252+H263</f>
        <v>48618839994.693649</v>
      </c>
      <c r="I211" s="90">
        <f t="shared" si="99"/>
        <v>2671200000</v>
      </c>
      <c r="J211" s="63"/>
      <c r="K211" s="63"/>
      <c r="L211" s="63"/>
      <c r="M211" s="63"/>
    </row>
    <row r="212" spans="2:13" ht="9.75" x14ac:dyDescent="0.1">
      <c r="B212" s="91"/>
      <c r="C212" s="92" t="s">
        <v>4011</v>
      </c>
      <c r="D212" s="93">
        <f t="shared" ref="D212" si="100">SUM(D213:D225)</f>
        <v>353394</v>
      </c>
      <c r="E212" s="93">
        <f t="shared" ref="E212:I212" si="101">SUM(E213:E225)</f>
        <v>9100000000</v>
      </c>
      <c r="F212" s="93">
        <f t="shared" si="101"/>
        <v>4112455679.6855865</v>
      </c>
      <c r="G212" s="93">
        <f t="shared" si="101"/>
        <v>13212455679.685585</v>
      </c>
      <c r="H212" s="93">
        <f t="shared" si="101"/>
        <v>12557255679.685585</v>
      </c>
      <c r="I212" s="93">
        <f t="shared" si="101"/>
        <v>655200000</v>
      </c>
      <c r="J212" s="63"/>
      <c r="K212" s="63"/>
      <c r="L212" s="63"/>
      <c r="M212" s="63"/>
    </row>
    <row r="213" spans="2:13" ht="9.75" x14ac:dyDescent="0.1">
      <c r="B213" s="94">
        <v>60101</v>
      </c>
      <c r="C213" s="95" t="s">
        <v>4012</v>
      </c>
      <c r="D213" s="96">
        <v>14207</v>
      </c>
      <c r="E213" s="97">
        <v>700000000</v>
      </c>
      <c r="F213" s="96">
        <f t="shared" ref="F213:F225" si="102">D213*$H$386</f>
        <v>165327249.02316716</v>
      </c>
      <c r="G213" s="98">
        <f t="shared" ref="G213:G225" si="103">F213+E213</f>
        <v>865327249.02316713</v>
      </c>
      <c r="H213" s="98">
        <f t="shared" ref="H213:H225" si="104">G213-I213</f>
        <v>814927249.02316713</v>
      </c>
      <c r="I213" s="97">
        <v>50400000</v>
      </c>
      <c r="J213" s="63"/>
      <c r="K213" s="63"/>
      <c r="L213" s="63"/>
      <c r="M213" s="63"/>
    </row>
    <row r="214" spans="2:13" ht="9.75" x14ac:dyDescent="0.1">
      <c r="B214" s="94">
        <v>60102</v>
      </c>
      <c r="C214" s="95" t="s">
        <v>4013</v>
      </c>
      <c r="D214" s="96">
        <v>30996</v>
      </c>
      <c r="E214" s="97">
        <v>700000000</v>
      </c>
      <c r="F214" s="96">
        <f t="shared" si="102"/>
        <v>360701302.92968881</v>
      </c>
      <c r="G214" s="98">
        <f t="shared" si="103"/>
        <v>1060701302.9296888</v>
      </c>
      <c r="H214" s="98">
        <f t="shared" si="104"/>
        <v>1010301302.9296888</v>
      </c>
      <c r="I214" s="97">
        <v>50400000</v>
      </c>
      <c r="J214" s="63"/>
      <c r="K214" s="63"/>
      <c r="L214" s="63"/>
      <c r="M214" s="63"/>
    </row>
    <row r="215" spans="2:13" ht="9.75" x14ac:dyDescent="0.1">
      <c r="B215" s="94">
        <v>60103</v>
      </c>
      <c r="C215" s="95" t="s">
        <v>4014</v>
      </c>
      <c r="D215" s="96">
        <v>44850</v>
      </c>
      <c r="E215" s="97">
        <v>700000000</v>
      </c>
      <c r="F215" s="96">
        <f t="shared" si="102"/>
        <v>521920681.26198685</v>
      </c>
      <c r="G215" s="98">
        <f t="shared" si="103"/>
        <v>1221920681.2619867</v>
      </c>
      <c r="H215" s="98">
        <f t="shared" si="104"/>
        <v>1171520681.2619867</v>
      </c>
      <c r="I215" s="97">
        <v>50400000</v>
      </c>
      <c r="J215" s="63"/>
      <c r="K215" s="63"/>
      <c r="L215" s="63"/>
      <c r="M215" s="63"/>
    </row>
    <row r="216" spans="2:13" ht="9.75" x14ac:dyDescent="0.1">
      <c r="B216" s="94">
        <v>60104</v>
      </c>
      <c r="C216" s="95" t="s">
        <v>4015</v>
      </c>
      <c r="D216" s="96">
        <v>24740</v>
      </c>
      <c r="E216" s="97">
        <v>700000000</v>
      </c>
      <c r="F216" s="96">
        <f t="shared" si="102"/>
        <v>287900059.18442708</v>
      </c>
      <c r="G216" s="98">
        <f t="shared" si="103"/>
        <v>987900059.18442702</v>
      </c>
      <c r="H216" s="98">
        <f t="shared" si="104"/>
        <v>937500059.18442702</v>
      </c>
      <c r="I216" s="97">
        <v>50400000</v>
      </c>
      <c r="J216" s="63"/>
      <c r="K216" s="63"/>
      <c r="L216" s="63"/>
      <c r="M216" s="63"/>
    </row>
    <row r="217" spans="2:13" ht="9.75" x14ac:dyDescent="0.1">
      <c r="B217" s="94">
        <v>60105</v>
      </c>
      <c r="C217" s="95" t="s">
        <v>4016</v>
      </c>
      <c r="D217" s="96">
        <v>16176</v>
      </c>
      <c r="E217" s="97">
        <v>700000000</v>
      </c>
      <c r="F217" s="96">
        <f t="shared" si="102"/>
        <v>188240556.07790187</v>
      </c>
      <c r="G217" s="98">
        <f t="shared" si="103"/>
        <v>888240556.07790184</v>
      </c>
      <c r="H217" s="98">
        <f t="shared" si="104"/>
        <v>837840556.07790184</v>
      </c>
      <c r="I217" s="97">
        <v>50400000</v>
      </c>
      <c r="J217" s="63"/>
      <c r="K217" s="63"/>
      <c r="L217" s="63"/>
      <c r="M217" s="63"/>
    </row>
    <row r="218" spans="2:13" ht="9.75" x14ac:dyDescent="0.1">
      <c r="B218" s="94">
        <v>60106</v>
      </c>
      <c r="C218" s="95" t="s">
        <v>4017</v>
      </c>
      <c r="D218" s="96">
        <v>14980</v>
      </c>
      <c r="E218" s="97">
        <v>700000000</v>
      </c>
      <c r="F218" s="96">
        <f t="shared" si="102"/>
        <v>174322671.2442489</v>
      </c>
      <c r="G218" s="98">
        <f t="shared" si="103"/>
        <v>874322671.24424887</v>
      </c>
      <c r="H218" s="98">
        <f t="shared" si="104"/>
        <v>823922671.24424887</v>
      </c>
      <c r="I218" s="97">
        <v>50400000</v>
      </c>
      <c r="J218" s="63"/>
      <c r="K218" s="63"/>
      <c r="L218" s="63"/>
      <c r="M218" s="63"/>
    </row>
    <row r="219" spans="2:13" ht="9.75" x14ac:dyDescent="0.1">
      <c r="B219" s="94">
        <v>60107</v>
      </c>
      <c r="C219" s="95" t="s">
        <v>4018</v>
      </c>
      <c r="D219" s="96">
        <v>14348</v>
      </c>
      <c r="E219" s="97">
        <v>700000000</v>
      </c>
      <c r="F219" s="96">
        <f t="shared" si="102"/>
        <v>166968069.89402422</v>
      </c>
      <c r="G219" s="98">
        <f t="shared" si="103"/>
        <v>866968069.89402425</v>
      </c>
      <c r="H219" s="98">
        <f t="shared" si="104"/>
        <v>816568069.89402425</v>
      </c>
      <c r="I219" s="97">
        <v>50400000</v>
      </c>
      <c r="J219" s="63"/>
      <c r="K219" s="63"/>
      <c r="L219" s="63"/>
      <c r="M219" s="63"/>
    </row>
    <row r="220" spans="2:13" ht="9.75" x14ac:dyDescent="0.1">
      <c r="B220" s="94">
        <v>60108</v>
      </c>
      <c r="C220" s="95" t="s">
        <v>4019</v>
      </c>
      <c r="D220" s="96">
        <v>36941</v>
      </c>
      <c r="E220" s="97">
        <v>700000000</v>
      </c>
      <c r="F220" s="96">
        <f t="shared" si="102"/>
        <v>429883431.13710266</v>
      </c>
      <c r="G220" s="98">
        <f t="shared" si="103"/>
        <v>1129883431.1371026</v>
      </c>
      <c r="H220" s="98">
        <f t="shared" si="104"/>
        <v>1079483431.1371026</v>
      </c>
      <c r="I220" s="97">
        <v>50400000</v>
      </c>
      <c r="J220" s="63"/>
      <c r="K220" s="63"/>
      <c r="L220" s="63"/>
      <c r="M220" s="63"/>
    </row>
    <row r="221" spans="2:13" ht="9.75" x14ac:dyDescent="0.1">
      <c r="B221" s="94">
        <v>60109</v>
      </c>
      <c r="C221" s="95" t="s">
        <v>4020</v>
      </c>
      <c r="D221" s="96">
        <v>48920</v>
      </c>
      <c r="E221" s="97">
        <v>700000000</v>
      </c>
      <c r="F221" s="96">
        <f t="shared" si="102"/>
        <v>569283382.99523735</v>
      </c>
      <c r="G221" s="98">
        <f t="shared" si="103"/>
        <v>1269283382.9952374</v>
      </c>
      <c r="H221" s="98">
        <f t="shared" si="104"/>
        <v>1218883382.9952374</v>
      </c>
      <c r="I221" s="97">
        <v>50400000</v>
      </c>
      <c r="J221" s="63"/>
      <c r="K221" s="63"/>
      <c r="L221" s="63"/>
      <c r="M221" s="63"/>
    </row>
    <row r="222" spans="2:13" ht="9.75" x14ac:dyDescent="0.1">
      <c r="B222" s="94">
        <v>60110</v>
      </c>
      <c r="C222" s="95" t="s">
        <v>4021</v>
      </c>
      <c r="D222" s="96">
        <v>18937</v>
      </c>
      <c r="E222" s="97">
        <v>700000000</v>
      </c>
      <c r="F222" s="96">
        <f t="shared" si="102"/>
        <v>220370388.87532318</v>
      </c>
      <c r="G222" s="98">
        <f t="shared" si="103"/>
        <v>920370388.87532318</v>
      </c>
      <c r="H222" s="98">
        <f t="shared" si="104"/>
        <v>869970388.87532318</v>
      </c>
      <c r="I222" s="97">
        <v>50400000</v>
      </c>
      <c r="J222" s="63"/>
      <c r="K222" s="63"/>
      <c r="L222" s="63"/>
      <c r="M222" s="63"/>
    </row>
    <row r="223" spans="2:13" ht="9.75" x14ac:dyDescent="0.1">
      <c r="B223" s="94">
        <v>60111</v>
      </c>
      <c r="C223" s="95" t="s">
        <v>4022</v>
      </c>
      <c r="D223" s="96">
        <v>22251</v>
      </c>
      <c r="E223" s="97">
        <v>700000000</v>
      </c>
      <c r="F223" s="96">
        <f t="shared" si="102"/>
        <v>258935497.85419106</v>
      </c>
      <c r="G223" s="98">
        <f t="shared" si="103"/>
        <v>958935497.85419106</v>
      </c>
      <c r="H223" s="98">
        <f t="shared" si="104"/>
        <v>908535497.85419106</v>
      </c>
      <c r="I223" s="97">
        <v>50400000</v>
      </c>
      <c r="J223" s="63"/>
      <c r="K223" s="63"/>
      <c r="L223" s="63"/>
      <c r="M223" s="63"/>
    </row>
    <row r="224" spans="2:13" ht="9.75" x14ac:dyDescent="0.1">
      <c r="B224" s="94">
        <v>60112</v>
      </c>
      <c r="C224" s="95" t="s">
        <v>3843</v>
      </c>
      <c r="D224" s="96">
        <v>23024</v>
      </c>
      <c r="E224" s="97">
        <v>700000000</v>
      </c>
      <c r="F224" s="96">
        <f t="shared" si="102"/>
        <v>267930920.0752728</v>
      </c>
      <c r="G224" s="98">
        <f t="shared" si="103"/>
        <v>967930920.0752728</v>
      </c>
      <c r="H224" s="98">
        <f t="shared" si="104"/>
        <v>917530920.0752728</v>
      </c>
      <c r="I224" s="97">
        <v>50400000</v>
      </c>
      <c r="J224" s="63"/>
      <c r="K224" s="63"/>
      <c r="L224" s="63"/>
      <c r="M224" s="63"/>
    </row>
    <row r="225" spans="2:13" ht="9.75" x14ac:dyDescent="0.1">
      <c r="B225" s="94">
        <v>60113</v>
      </c>
      <c r="C225" s="95" t="s">
        <v>4023</v>
      </c>
      <c r="D225" s="96">
        <v>43024</v>
      </c>
      <c r="E225" s="97">
        <v>700000000</v>
      </c>
      <c r="F225" s="96">
        <f t="shared" si="102"/>
        <v>500671469.13301498</v>
      </c>
      <c r="G225" s="98">
        <f t="shared" si="103"/>
        <v>1200671469.1330149</v>
      </c>
      <c r="H225" s="98">
        <f t="shared" si="104"/>
        <v>1150271469.1330149</v>
      </c>
      <c r="I225" s="97">
        <v>50400000</v>
      </c>
      <c r="J225" s="63"/>
      <c r="K225" s="63"/>
      <c r="L225" s="63"/>
      <c r="M225" s="63"/>
    </row>
    <row r="226" spans="2:13" ht="9.75" x14ac:dyDescent="0.1">
      <c r="B226" s="91"/>
      <c r="C226" s="92" t="s">
        <v>4024</v>
      </c>
      <c r="D226" s="93">
        <f t="shared" ref="D226" si="105">SUM(D227:D239)</f>
        <v>390497</v>
      </c>
      <c r="E226" s="93">
        <f>SUM(E227:E239)</f>
        <v>9100000000</v>
      </c>
      <c r="F226" s="93">
        <f>SUM(F227:F239)</f>
        <v>4544224309.2700577</v>
      </c>
      <c r="G226" s="93">
        <f>SUM(G227:G239)</f>
        <v>13644224309.270056</v>
      </c>
      <c r="H226" s="93">
        <f t="shared" ref="H226:I226" si="106">SUM(H227:H239)</f>
        <v>12989024309.270056</v>
      </c>
      <c r="I226" s="93">
        <f t="shared" si="106"/>
        <v>655200000</v>
      </c>
      <c r="J226" s="63"/>
      <c r="K226" s="63"/>
      <c r="L226" s="63"/>
      <c r="M226" s="63"/>
    </row>
    <row r="227" spans="2:13" ht="9.75" x14ac:dyDescent="0.1">
      <c r="B227" s="94">
        <v>60201</v>
      </c>
      <c r="C227" s="95" t="s">
        <v>4025</v>
      </c>
      <c r="D227" s="96">
        <v>21792</v>
      </c>
      <c r="E227" s="97">
        <v>700000000</v>
      </c>
      <c r="F227" s="96">
        <f t="shared" ref="F227:F239" si="107">D227*$H$386</f>
        <v>253594102.25331587</v>
      </c>
      <c r="G227" s="98">
        <f t="shared" ref="G227:G239" si="108">F227+E227</f>
        <v>953594102.25331593</v>
      </c>
      <c r="H227" s="98">
        <f t="shared" ref="H227:H239" si="109">G227-I227</f>
        <v>903194102.25331593</v>
      </c>
      <c r="I227" s="97">
        <v>50400000</v>
      </c>
      <c r="J227" s="63"/>
      <c r="K227" s="63"/>
      <c r="L227" s="63"/>
      <c r="M227" s="63"/>
    </row>
    <row r="228" spans="2:13" ht="9.75" x14ac:dyDescent="0.1">
      <c r="B228" s="94">
        <v>60202</v>
      </c>
      <c r="C228" s="95" t="s">
        <v>4026</v>
      </c>
      <c r="D228" s="96">
        <v>11167</v>
      </c>
      <c r="E228" s="97">
        <v>700000000</v>
      </c>
      <c r="F228" s="96">
        <f t="shared" si="107"/>
        <v>129950685.56639034</v>
      </c>
      <c r="G228" s="98">
        <f t="shared" si="108"/>
        <v>829950685.56639028</v>
      </c>
      <c r="H228" s="98">
        <f t="shared" si="109"/>
        <v>779550685.56639028</v>
      </c>
      <c r="I228" s="97">
        <v>50400000</v>
      </c>
      <c r="J228" s="63"/>
      <c r="K228" s="63"/>
      <c r="L228" s="63"/>
      <c r="M228" s="63"/>
    </row>
    <row r="229" spans="2:13" ht="9.75" x14ac:dyDescent="0.1">
      <c r="B229" s="94">
        <v>60203</v>
      </c>
      <c r="C229" s="95" t="s">
        <v>4027</v>
      </c>
      <c r="D229" s="96">
        <v>17239</v>
      </c>
      <c r="E229" s="97">
        <v>700000000</v>
      </c>
      <c r="F229" s="96">
        <f t="shared" si="107"/>
        <v>200610716.26032087</v>
      </c>
      <c r="G229" s="98">
        <f t="shared" si="108"/>
        <v>900610716.2603209</v>
      </c>
      <c r="H229" s="98">
        <f t="shared" si="109"/>
        <v>850210716.2603209</v>
      </c>
      <c r="I229" s="97">
        <v>50400000</v>
      </c>
      <c r="J229" s="63"/>
      <c r="K229" s="63"/>
      <c r="L229" s="63"/>
      <c r="M229" s="63"/>
    </row>
    <row r="230" spans="2:13" ht="9.75" x14ac:dyDescent="0.1">
      <c r="B230" s="94">
        <v>60204</v>
      </c>
      <c r="C230" s="95" t="s">
        <v>4028</v>
      </c>
      <c r="D230" s="96">
        <v>15409</v>
      </c>
      <c r="E230" s="97">
        <v>700000000</v>
      </c>
      <c r="F230" s="96">
        <f t="shared" si="107"/>
        <v>179314956.02153745</v>
      </c>
      <c r="G230" s="98">
        <f t="shared" si="108"/>
        <v>879314956.02153742</v>
      </c>
      <c r="H230" s="98">
        <f t="shared" si="109"/>
        <v>828914956.02153742</v>
      </c>
      <c r="I230" s="97">
        <v>50400000</v>
      </c>
      <c r="J230" s="63"/>
      <c r="K230" s="63"/>
      <c r="L230" s="63"/>
      <c r="M230" s="63"/>
    </row>
    <row r="231" spans="2:13" ht="9.75" x14ac:dyDescent="0.1">
      <c r="B231" s="94">
        <v>60205</v>
      </c>
      <c r="C231" s="95" t="s">
        <v>4029</v>
      </c>
      <c r="D231" s="96">
        <v>11574</v>
      </c>
      <c r="E231" s="97">
        <v>700000000</v>
      </c>
      <c r="F231" s="96">
        <f t="shared" si="107"/>
        <v>134686955.7397154</v>
      </c>
      <c r="G231" s="98">
        <f t="shared" si="108"/>
        <v>834686955.73971534</v>
      </c>
      <c r="H231" s="98">
        <f t="shared" si="109"/>
        <v>784286955.73971534</v>
      </c>
      <c r="I231" s="97">
        <v>50400000</v>
      </c>
      <c r="J231" s="63"/>
      <c r="K231" s="63"/>
      <c r="L231" s="63"/>
      <c r="M231" s="63"/>
    </row>
    <row r="232" spans="2:13" ht="9.75" x14ac:dyDescent="0.1">
      <c r="B232" s="94">
        <v>60206</v>
      </c>
      <c r="C232" s="95" t="s">
        <v>4030</v>
      </c>
      <c r="D232" s="96">
        <v>17815</v>
      </c>
      <c r="E232" s="97">
        <v>700000000</v>
      </c>
      <c r="F232" s="96">
        <f t="shared" si="107"/>
        <v>207313644.07318383</v>
      </c>
      <c r="G232" s="98">
        <f t="shared" si="108"/>
        <v>907313644.07318377</v>
      </c>
      <c r="H232" s="98">
        <f t="shared" si="109"/>
        <v>856913644.07318377</v>
      </c>
      <c r="I232" s="97">
        <v>50400000</v>
      </c>
      <c r="J232" s="63"/>
      <c r="K232" s="63"/>
      <c r="L232" s="63"/>
      <c r="M232" s="63"/>
    </row>
    <row r="233" spans="2:13" ht="9.75" x14ac:dyDescent="0.1">
      <c r="B233" s="94">
        <v>60207</v>
      </c>
      <c r="C233" s="95" t="s">
        <v>4031</v>
      </c>
      <c r="D233" s="96">
        <v>12551</v>
      </c>
      <c r="E233" s="97">
        <v>700000000</v>
      </c>
      <c r="F233" s="96">
        <f t="shared" si="107"/>
        <v>146056331.56118611</v>
      </c>
      <c r="G233" s="98">
        <f t="shared" si="108"/>
        <v>846056331.56118608</v>
      </c>
      <c r="H233" s="98">
        <f t="shared" si="109"/>
        <v>795656331.56118608</v>
      </c>
      <c r="I233" s="97">
        <v>50400000</v>
      </c>
      <c r="J233" s="63"/>
      <c r="K233" s="63"/>
      <c r="L233" s="63"/>
      <c r="M233" s="63"/>
    </row>
    <row r="234" spans="2:13" ht="9.75" x14ac:dyDescent="0.1">
      <c r="B234" s="94">
        <v>60208</v>
      </c>
      <c r="C234" s="95" t="s">
        <v>4032</v>
      </c>
      <c r="D234" s="96">
        <v>17817</v>
      </c>
      <c r="E234" s="97">
        <v>700000000</v>
      </c>
      <c r="F234" s="96">
        <f t="shared" si="107"/>
        <v>207336918.12808961</v>
      </c>
      <c r="G234" s="98">
        <f t="shared" si="108"/>
        <v>907336918.12808967</v>
      </c>
      <c r="H234" s="98">
        <f t="shared" si="109"/>
        <v>856936918.12808967</v>
      </c>
      <c r="I234" s="97">
        <v>50400000</v>
      </c>
      <c r="J234" s="63"/>
      <c r="K234" s="63"/>
      <c r="L234" s="63"/>
      <c r="M234" s="63"/>
    </row>
    <row r="235" spans="2:13" ht="9.75" x14ac:dyDescent="0.1">
      <c r="B235" s="94">
        <v>60209</v>
      </c>
      <c r="C235" s="95" t="s">
        <v>4033</v>
      </c>
      <c r="D235" s="96">
        <v>173786</v>
      </c>
      <c r="E235" s="97">
        <v>700000000</v>
      </c>
      <c r="F235" s="96">
        <f t="shared" si="107"/>
        <v>2022352452.927439</v>
      </c>
      <c r="G235" s="98">
        <f t="shared" si="108"/>
        <v>2722352452.9274387</v>
      </c>
      <c r="H235" s="98">
        <f t="shared" si="109"/>
        <v>2671952452.9274387</v>
      </c>
      <c r="I235" s="97">
        <v>50400000</v>
      </c>
      <c r="J235" s="63"/>
      <c r="K235" s="63"/>
      <c r="L235" s="63"/>
      <c r="M235" s="63"/>
    </row>
    <row r="236" spans="2:13" ht="9.75" x14ac:dyDescent="0.1">
      <c r="B236" s="94">
        <v>60210</v>
      </c>
      <c r="C236" s="95" t="s">
        <v>4034</v>
      </c>
      <c r="D236" s="96">
        <v>16869</v>
      </c>
      <c r="E236" s="97">
        <v>700000000</v>
      </c>
      <c r="F236" s="96">
        <f t="shared" si="107"/>
        <v>196305016.10275263</v>
      </c>
      <c r="G236" s="98">
        <f t="shared" si="108"/>
        <v>896305016.10275269</v>
      </c>
      <c r="H236" s="98">
        <f t="shared" si="109"/>
        <v>845905016.10275269</v>
      </c>
      <c r="I236" s="97">
        <v>50400000</v>
      </c>
      <c r="J236" s="63"/>
      <c r="K236" s="63"/>
      <c r="L236" s="63"/>
      <c r="M236" s="63"/>
    </row>
    <row r="237" spans="2:13" ht="9.75" x14ac:dyDescent="0.1">
      <c r="B237" s="94">
        <v>60211</v>
      </c>
      <c r="C237" s="95" t="s">
        <v>4035</v>
      </c>
      <c r="D237" s="96">
        <v>30547</v>
      </c>
      <c r="E237" s="97">
        <v>700000000</v>
      </c>
      <c r="F237" s="96">
        <f t="shared" si="107"/>
        <v>355476277.60334253</v>
      </c>
      <c r="G237" s="98">
        <f t="shared" si="108"/>
        <v>1055476277.6033425</v>
      </c>
      <c r="H237" s="98">
        <f t="shared" si="109"/>
        <v>1005076277.6033425</v>
      </c>
      <c r="I237" s="97">
        <v>50400000</v>
      </c>
      <c r="J237" s="63"/>
      <c r="K237" s="63"/>
      <c r="L237" s="63"/>
      <c r="M237" s="63"/>
    </row>
    <row r="238" spans="2:13" ht="9.75" x14ac:dyDescent="0.1">
      <c r="B238" s="94">
        <v>60212</v>
      </c>
      <c r="C238" s="95" t="s">
        <v>4036</v>
      </c>
      <c r="D238" s="96">
        <v>25120</v>
      </c>
      <c r="E238" s="97">
        <v>700000000</v>
      </c>
      <c r="F238" s="96">
        <f t="shared" si="107"/>
        <v>292322129.61652416</v>
      </c>
      <c r="G238" s="98">
        <f t="shared" si="108"/>
        <v>992322129.61652422</v>
      </c>
      <c r="H238" s="98">
        <f t="shared" si="109"/>
        <v>941922129.61652422</v>
      </c>
      <c r="I238" s="97">
        <v>50400000</v>
      </c>
      <c r="J238" s="63"/>
      <c r="K238" s="63"/>
      <c r="L238" s="63"/>
      <c r="M238" s="63"/>
    </row>
    <row r="239" spans="2:13" ht="9.75" x14ac:dyDescent="0.1">
      <c r="B239" s="94">
        <v>60213</v>
      </c>
      <c r="C239" s="95" t="s">
        <v>4037</v>
      </c>
      <c r="D239" s="96">
        <v>18811</v>
      </c>
      <c r="E239" s="97">
        <v>700000000</v>
      </c>
      <c r="F239" s="96">
        <f t="shared" si="107"/>
        <v>218904123.41625941</v>
      </c>
      <c r="G239" s="98">
        <f t="shared" si="108"/>
        <v>918904123.41625941</v>
      </c>
      <c r="H239" s="98">
        <f t="shared" si="109"/>
        <v>868504123.41625941</v>
      </c>
      <c r="I239" s="97">
        <v>50400000</v>
      </c>
      <c r="J239" s="63"/>
      <c r="K239" s="63"/>
      <c r="L239" s="63"/>
      <c r="M239" s="63"/>
    </row>
    <row r="240" spans="2:13" ht="9.75" x14ac:dyDescent="0.1">
      <c r="B240" s="91"/>
      <c r="C240" s="92" t="s">
        <v>4038</v>
      </c>
      <c r="D240" s="93">
        <f t="shared" ref="D240" si="110">SUM(D241:D251)</f>
        <v>200167</v>
      </c>
      <c r="E240" s="93">
        <f>SUM(E241:E251)</f>
        <v>7700000000</v>
      </c>
      <c r="F240" s="93">
        <f>SUM(F241:F251)</f>
        <v>2329348874.1620541</v>
      </c>
      <c r="G240" s="93">
        <f>SUM(G241:G251)</f>
        <v>10029348874.162054</v>
      </c>
      <c r="H240" s="93">
        <f t="shared" ref="H240:I240" si="111">SUM(H241:H251)</f>
        <v>9474948874.1620541</v>
      </c>
      <c r="I240" s="93">
        <f t="shared" si="111"/>
        <v>554400000</v>
      </c>
      <c r="J240" s="63"/>
      <c r="K240" s="63"/>
      <c r="L240" s="63"/>
      <c r="M240" s="63"/>
    </row>
    <row r="241" spans="2:13" ht="9.75" x14ac:dyDescent="0.1">
      <c r="B241" s="94">
        <v>60301</v>
      </c>
      <c r="C241" s="95" t="s">
        <v>4039</v>
      </c>
      <c r="D241" s="96">
        <v>12550</v>
      </c>
      <c r="E241" s="97">
        <v>700000000</v>
      </c>
      <c r="F241" s="96">
        <f t="shared" ref="F241:F251" si="112">D241*$H$386</f>
        <v>146044694.53373322</v>
      </c>
      <c r="G241" s="98">
        <f t="shared" ref="G241:G251" si="113">F241+E241</f>
        <v>846044694.53373325</v>
      </c>
      <c r="H241" s="98">
        <f t="shared" ref="H241:H262" si="114">G241-I241</f>
        <v>795644694.53373325</v>
      </c>
      <c r="I241" s="97">
        <v>50400000</v>
      </c>
      <c r="J241" s="63"/>
      <c r="K241" s="63"/>
      <c r="L241" s="63"/>
      <c r="M241" s="63"/>
    </row>
    <row r="242" spans="2:13" ht="9.75" x14ac:dyDescent="0.1">
      <c r="B242" s="94">
        <v>60302</v>
      </c>
      <c r="C242" s="95" t="s">
        <v>4040</v>
      </c>
      <c r="D242" s="96">
        <v>22032</v>
      </c>
      <c r="E242" s="97">
        <v>700000000</v>
      </c>
      <c r="F242" s="96">
        <f t="shared" si="112"/>
        <v>256386988.84200877</v>
      </c>
      <c r="G242" s="98">
        <f t="shared" si="113"/>
        <v>956386988.84200883</v>
      </c>
      <c r="H242" s="98">
        <f t="shared" si="114"/>
        <v>905986988.84200883</v>
      </c>
      <c r="I242" s="97">
        <v>50400000</v>
      </c>
      <c r="J242" s="63"/>
      <c r="K242" s="63"/>
      <c r="L242" s="63"/>
      <c r="M242" s="63"/>
    </row>
    <row r="243" spans="2:13" ht="9.75" x14ac:dyDescent="0.1">
      <c r="B243" s="94">
        <v>60303</v>
      </c>
      <c r="C243" s="95" t="s">
        <v>4041</v>
      </c>
      <c r="D243" s="96">
        <v>22233</v>
      </c>
      <c r="E243" s="97">
        <v>700000000</v>
      </c>
      <c r="F243" s="96">
        <f t="shared" si="112"/>
        <v>258726031.36003909</v>
      </c>
      <c r="G243" s="98">
        <f t="shared" si="113"/>
        <v>958726031.36003911</v>
      </c>
      <c r="H243" s="98">
        <f t="shared" si="114"/>
        <v>908326031.36003911</v>
      </c>
      <c r="I243" s="97">
        <v>50400000</v>
      </c>
      <c r="J243" s="63"/>
      <c r="K243" s="63"/>
      <c r="L243" s="63"/>
      <c r="M243" s="63"/>
    </row>
    <row r="244" spans="2:13" ht="9.75" x14ac:dyDescent="0.1">
      <c r="B244" s="94">
        <v>60304</v>
      </c>
      <c r="C244" s="95" t="s">
        <v>4042</v>
      </c>
      <c r="D244" s="96">
        <v>9170</v>
      </c>
      <c r="E244" s="97">
        <v>700000000</v>
      </c>
      <c r="F244" s="96">
        <f t="shared" si="112"/>
        <v>106711541.74297479</v>
      </c>
      <c r="G244" s="98">
        <f t="shared" si="113"/>
        <v>806711541.74297476</v>
      </c>
      <c r="H244" s="98">
        <f t="shared" si="114"/>
        <v>756311541.74297476</v>
      </c>
      <c r="I244" s="97">
        <v>50400000</v>
      </c>
      <c r="J244" s="63"/>
      <c r="K244" s="63"/>
      <c r="L244" s="63"/>
      <c r="M244" s="63"/>
    </row>
    <row r="245" spans="2:13" ht="9.75" x14ac:dyDescent="0.1">
      <c r="B245" s="94">
        <v>60305</v>
      </c>
      <c r="C245" s="95" t="s">
        <v>4043</v>
      </c>
      <c r="D245" s="96">
        <v>24804</v>
      </c>
      <c r="E245" s="97">
        <v>700000000</v>
      </c>
      <c r="F245" s="96">
        <f t="shared" si="112"/>
        <v>288644828.94141185</v>
      </c>
      <c r="G245" s="98">
        <f t="shared" si="113"/>
        <v>988644828.94141185</v>
      </c>
      <c r="H245" s="98">
        <f t="shared" si="114"/>
        <v>938244828.94141185</v>
      </c>
      <c r="I245" s="97">
        <v>50400000</v>
      </c>
      <c r="J245" s="63"/>
      <c r="K245" s="63"/>
      <c r="L245" s="63"/>
      <c r="M245" s="63"/>
    </row>
    <row r="246" spans="2:13" ht="9.75" x14ac:dyDescent="0.1">
      <c r="B246" s="94">
        <v>60306</v>
      </c>
      <c r="C246" s="95" t="s">
        <v>4044</v>
      </c>
      <c r="D246" s="96">
        <v>17785</v>
      </c>
      <c r="E246" s="97">
        <v>700000000</v>
      </c>
      <c r="F246" s="96">
        <f t="shared" si="112"/>
        <v>206964533.24959722</v>
      </c>
      <c r="G246" s="98">
        <f t="shared" si="113"/>
        <v>906964533.24959719</v>
      </c>
      <c r="H246" s="98">
        <f t="shared" si="114"/>
        <v>856564533.24959719</v>
      </c>
      <c r="I246" s="97">
        <v>50400000</v>
      </c>
      <c r="J246" s="63"/>
      <c r="K246" s="63"/>
      <c r="L246" s="63"/>
      <c r="M246" s="63"/>
    </row>
    <row r="247" spans="2:13" ht="9.75" x14ac:dyDescent="0.1">
      <c r="B247" s="94">
        <v>60307</v>
      </c>
      <c r="C247" s="95" t="s">
        <v>4045</v>
      </c>
      <c r="D247" s="96">
        <v>12743</v>
      </c>
      <c r="E247" s="97">
        <v>700000000</v>
      </c>
      <c r="F247" s="96">
        <f t="shared" si="112"/>
        <v>148290640.83214042</v>
      </c>
      <c r="G247" s="98">
        <f t="shared" si="113"/>
        <v>848290640.83214045</v>
      </c>
      <c r="H247" s="98">
        <f t="shared" si="114"/>
        <v>797890640.83214045</v>
      </c>
      <c r="I247" s="97">
        <v>50400000</v>
      </c>
      <c r="J247" s="63"/>
      <c r="K247" s="63"/>
      <c r="L247" s="63"/>
      <c r="M247" s="63"/>
    </row>
    <row r="248" spans="2:13" ht="9.75" x14ac:dyDescent="0.1">
      <c r="B248" s="94">
        <v>60308</v>
      </c>
      <c r="C248" s="95" t="s">
        <v>4046</v>
      </c>
      <c r="D248" s="96">
        <v>9739</v>
      </c>
      <c r="E248" s="97">
        <v>700000000</v>
      </c>
      <c r="F248" s="96">
        <f t="shared" si="112"/>
        <v>113333010.36366755</v>
      </c>
      <c r="G248" s="98">
        <f t="shared" si="113"/>
        <v>813333010.36366749</v>
      </c>
      <c r="H248" s="98">
        <f t="shared" si="114"/>
        <v>762933010.36366749</v>
      </c>
      <c r="I248" s="97">
        <v>50400000</v>
      </c>
      <c r="J248" s="63"/>
      <c r="K248" s="63"/>
      <c r="L248" s="63"/>
      <c r="M248" s="63"/>
    </row>
    <row r="249" spans="2:13" ht="9.75" x14ac:dyDescent="0.1">
      <c r="B249" s="94">
        <v>60309</v>
      </c>
      <c r="C249" s="95" t="s">
        <v>4047</v>
      </c>
      <c r="D249" s="96">
        <v>17894</v>
      </c>
      <c r="E249" s="97">
        <v>700000000</v>
      </c>
      <c r="F249" s="96">
        <f t="shared" si="112"/>
        <v>208232969.24196193</v>
      </c>
      <c r="G249" s="98">
        <f t="shared" si="113"/>
        <v>908232969.24196196</v>
      </c>
      <c r="H249" s="98">
        <f t="shared" si="114"/>
        <v>857832969.24196196</v>
      </c>
      <c r="I249" s="97">
        <v>50400000</v>
      </c>
      <c r="J249" s="63"/>
      <c r="K249" s="63"/>
      <c r="L249" s="63"/>
      <c r="M249" s="63"/>
    </row>
    <row r="250" spans="2:13" ht="9.75" x14ac:dyDescent="0.1">
      <c r="B250" s="94">
        <v>60310</v>
      </c>
      <c r="C250" s="95" t="s">
        <v>4048</v>
      </c>
      <c r="D250" s="96">
        <v>18867</v>
      </c>
      <c r="E250" s="97">
        <v>700000000</v>
      </c>
      <c r="F250" s="96">
        <f t="shared" si="112"/>
        <v>219555796.95362109</v>
      </c>
      <c r="G250" s="98">
        <f t="shared" si="113"/>
        <v>919555796.95362115</v>
      </c>
      <c r="H250" s="98">
        <f t="shared" si="114"/>
        <v>869155796.95362115</v>
      </c>
      <c r="I250" s="97">
        <v>50400000</v>
      </c>
      <c r="J250" s="63"/>
      <c r="K250" s="63"/>
      <c r="L250" s="63"/>
      <c r="M250" s="63"/>
    </row>
    <row r="251" spans="2:13" ht="9.75" x14ac:dyDescent="0.1">
      <c r="B251" s="94">
        <v>60311</v>
      </c>
      <c r="C251" s="95" t="s">
        <v>4049</v>
      </c>
      <c r="D251" s="96">
        <v>32350</v>
      </c>
      <c r="E251" s="97">
        <v>700000000</v>
      </c>
      <c r="F251" s="96">
        <f t="shared" si="112"/>
        <v>376457838.10089797</v>
      </c>
      <c r="G251" s="98">
        <f t="shared" si="113"/>
        <v>1076457838.100898</v>
      </c>
      <c r="H251" s="98">
        <f t="shared" si="114"/>
        <v>1026057838.100898</v>
      </c>
      <c r="I251" s="97">
        <v>50400000</v>
      </c>
      <c r="J251" s="63"/>
      <c r="K251" s="63"/>
      <c r="L251" s="63"/>
      <c r="M251" s="63"/>
    </row>
    <row r="252" spans="2:13" ht="9.75" x14ac:dyDescent="0.1">
      <c r="B252" s="91"/>
      <c r="C252" s="92" t="s">
        <v>4050</v>
      </c>
      <c r="D252" s="93">
        <f t="shared" ref="D252" si="115">SUM(D253:D262)</f>
        <v>152727</v>
      </c>
      <c r="E252" s="93">
        <f>SUM(E253:E262)</f>
        <v>7000000000</v>
      </c>
      <c r="F252" s="93">
        <f>SUM(F253:F262)</f>
        <v>1777288291.7970893</v>
      </c>
      <c r="G252" s="93">
        <f>SUM(G253:G262)</f>
        <v>8777288291.7970886</v>
      </c>
      <c r="H252" s="93">
        <f t="shared" ref="H252:I252" si="116">SUM(H253:H262)</f>
        <v>8273288291.7970896</v>
      </c>
      <c r="I252" s="93">
        <f t="shared" si="116"/>
        <v>504000000</v>
      </c>
      <c r="J252" s="63"/>
      <c r="K252" s="63"/>
      <c r="L252" s="63"/>
      <c r="M252" s="63"/>
    </row>
    <row r="253" spans="2:13" ht="9.75" x14ac:dyDescent="0.1">
      <c r="B253" s="94">
        <v>60401</v>
      </c>
      <c r="C253" s="95" t="s">
        <v>4051</v>
      </c>
      <c r="D253" s="96">
        <v>11962</v>
      </c>
      <c r="E253" s="97">
        <v>700000000</v>
      </c>
      <c r="F253" s="96">
        <f t="shared" ref="F253:F262" si="117">D253*$H$386</f>
        <v>139202122.39143559</v>
      </c>
      <c r="G253" s="98">
        <f t="shared" ref="G253:G262" si="118">F253+E253</f>
        <v>839202122.39143562</v>
      </c>
      <c r="H253" s="98">
        <f t="shared" si="114"/>
        <v>788802122.39143562</v>
      </c>
      <c r="I253" s="97">
        <v>50400000</v>
      </c>
      <c r="J253" s="63"/>
      <c r="K253" s="63"/>
      <c r="L253" s="63"/>
      <c r="M253" s="63"/>
    </row>
    <row r="254" spans="2:13" ht="9.75" x14ac:dyDescent="0.1">
      <c r="B254" s="94">
        <v>60402</v>
      </c>
      <c r="C254" s="95" t="s">
        <v>4052</v>
      </c>
      <c r="D254" s="96">
        <v>9740</v>
      </c>
      <c r="E254" s="97">
        <v>700000000</v>
      </c>
      <c r="F254" s="96">
        <f t="shared" si="117"/>
        <v>113344647.39112043</v>
      </c>
      <c r="G254" s="98">
        <f t="shared" si="118"/>
        <v>813344647.39112043</v>
      </c>
      <c r="H254" s="98">
        <f t="shared" si="114"/>
        <v>762944647.39112043</v>
      </c>
      <c r="I254" s="97">
        <v>50400000</v>
      </c>
      <c r="J254" s="63"/>
      <c r="K254" s="63"/>
      <c r="L254" s="63"/>
      <c r="M254" s="63"/>
    </row>
    <row r="255" spans="2:13" ht="9.75" x14ac:dyDescent="0.1">
      <c r="B255" s="94">
        <v>60403</v>
      </c>
      <c r="C255" s="95" t="s">
        <v>4053</v>
      </c>
      <c r="D255" s="96">
        <v>10695</v>
      </c>
      <c r="E255" s="97">
        <v>700000000</v>
      </c>
      <c r="F255" s="96">
        <f t="shared" si="117"/>
        <v>124458008.60862763</v>
      </c>
      <c r="G255" s="98">
        <f t="shared" si="118"/>
        <v>824458008.60862768</v>
      </c>
      <c r="H255" s="98">
        <f t="shared" si="114"/>
        <v>774058008.60862768</v>
      </c>
      <c r="I255" s="97">
        <v>50400000</v>
      </c>
      <c r="J255" s="63"/>
      <c r="K255" s="63"/>
      <c r="L255" s="63"/>
      <c r="M255" s="63"/>
    </row>
    <row r="256" spans="2:13" ht="9.75" x14ac:dyDescent="0.1">
      <c r="B256" s="94">
        <v>60404</v>
      </c>
      <c r="C256" s="95" t="s">
        <v>4054</v>
      </c>
      <c r="D256" s="96">
        <v>8955</v>
      </c>
      <c r="E256" s="97">
        <v>700000000</v>
      </c>
      <c r="F256" s="96">
        <f t="shared" si="117"/>
        <v>104209580.84060405</v>
      </c>
      <c r="G256" s="98">
        <f t="shared" si="118"/>
        <v>804209580.84060407</v>
      </c>
      <c r="H256" s="98">
        <f t="shared" si="114"/>
        <v>753809580.84060407</v>
      </c>
      <c r="I256" s="97">
        <v>50400000</v>
      </c>
      <c r="J256" s="63"/>
      <c r="K256" s="63"/>
      <c r="L256" s="63"/>
      <c r="M256" s="63"/>
    </row>
    <row r="257" spans="2:13" ht="9.75" x14ac:dyDescent="0.1">
      <c r="B257" s="94">
        <v>60405</v>
      </c>
      <c r="C257" s="95" t="s">
        <v>3966</v>
      </c>
      <c r="D257" s="96">
        <v>21374</v>
      </c>
      <c r="E257" s="97">
        <v>700000000</v>
      </c>
      <c r="F257" s="96">
        <f t="shared" si="117"/>
        <v>248729824.77800906</v>
      </c>
      <c r="G257" s="98">
        <f t="shared" si="118"/>
        <v>948729824.77800906</v>
      </c>
      <c r="H257" s="98">
        <f t="shared" si="114"/>
        <v>898329824.77800906</v>
      </c>
      <c r="I257" s="97">
        <v>50400000</v>
      </c>
      <c r="J257" s="63"/>
      <c r="K257" s="63"/>
      <c r="L257" s="63"/>
      <c r="M257" s="63"/>
    </row>
    <row r="258" spans="2:13" ht="9.75" x14ac:dyDescent="0.1">
      <c r="B258" s="94">
        <v>60406</v>
      </c>
      <c r="C258" s="95" t="s">
        <v>4055</v>
      </c>
      <c r="D258" s="96">
        <v>16811</v>
      </c>
      <c r="E258" s="97">
        <v>700000000</v>
      </c>
      <c r="F258" s="96">
        <f t="shared" si="117"/>
        <v>195630068.51048517</v>
      </c>
      <c r="G258" s="98">
        <f t="shared" si="118"/>
        <v>895630068.51048517</v>
      </c>
      <c r="H258" s="98">
        <f t="shared" si="114"/>
        <v>845230068.51048517</v>
      </c>
      <c r="I258" s="97">
        <v>50400000</v>
      </c>
      <c r="J258" s="63"/>
      <c r="K258" s="63"/>
      <c r="L258" s="63"/>
      <c r="M258" s="63"/>
    </row>
    <row r="259" spans="2:13" ht="9.75" x14ac:dyDescent="0.1">
      <c r="B259" s="94">
        <v>60407</v>
      </c>
      <c r="C259" s="95" t="s">
        <v>4056</v>
      </c>
      <c r="D259" s="96">
        <v>13803</v>
      </c>
      <c r="E259" s="97">
        <v>700000000</v>
      </c>
      <c r="F259" s="96">
        <f t="shared" si="117"/>
        <v>160625889.93220076</v>
      </c>
      <c r="G259" s="98">
        <f t="shared" si="118"/>
        <v>860625889.93220079</v>
      </c>
      <c r="H259" s="98">
        <f t="shared" si="114"/>
        <v>810225889.93220079</v>
      </c>
      <c r="I259" s="97">
        <v>50400000</v>
      </c>
      <c r="J259" s="63"/>
      <c r="K259" s="63"/>
      <c r="L259" s="63"/>
      <c r="M259" s="63"/>
    </row>
    <row r="260" spans="2:13" ht="9.75" x14ac:dyDescent="0.1">
      <c r="B260" s="94">
        <v>60408</v>
      </c>
      <c r="C260" s="95" t="s">
        <v>4057</v>
      </c>
      <c r="D260" s="96">
        <v>17167</v>
      </c>
      <c r="E260" s="97">
        <v>700000000</v>
      </c>
      <c r="F260" s="96">
        <f t="shared" si="117"/>
        <v>199772850.28371298</v>
      </c>
      <c r="G260" s="98">
        <f t="shared" si="118"/>
        <v>899772850.28371298</v>
      </c>
      <c r="H260" s="98">
        <f t="shared" si="114"/>
        <v>849372850.28371298</v>
      </c>
      <c r="I260" s="97">
        <v>50400000</v>
      </c>
      <c r="J260" s="63"/>
      <c r="K260" s="63"/>
      <c r="L260" s="63"/>
      <c r="M260" s="63"/>
    </row>
    <row r="261" spans="2:13" ht="9.75" x14ac:dyDescent="0.1">
      <c r="B261" s="94">
        <v>60409</v>
      </c>
      <c r="C261" s="95" t="s">
        <v>4058</v>
      </c>
      <c r="D261" s="96">
        <v>9171</v>
      </c>
      <c r="E261" s="97">
        <v>700000000</v>
      </c>
      <c r="F261" s="96">
        <f t="shared" si="117"/>
        <v>106723178.77042767</v>
      </c>
      <c r="G261" s="98">
        <f t="shared" si="118"/>
        <v>806723178.7704277</v>
      </c>
      <c r="H261" s="98">
        <f t="shared" si="114"/>
        <v>756323178.7704277</v>
      </c>
      <c r="I261" s="97">
        <v>50400000</v>
      </c>
      <c r="J261" s="63"/>
      <c r="K261" s="63"/>
      <c r="L261" s="63"/>
      <c r="M261" s="63"/>
    </row>
    <row r="262" spans="2:13" ht="9.75" x14ac:dyDescent="0.1">
      <c r="B262" s="94">
        <v>60410</v>
      </c>
      <c r="C262" s="95" t="s">
        <v>4059</v>
      </c>
      <c r="D262" s="96">
        <v>33049</v>
      </c>
      <c r="E262" s="97">
        <v>700000000</v>
      </c>
      <c r="F262" s="96">
        <f t="shared" si="117"/>
        <v>384592120.29046607</v>
      </c>
      <c r="G262" s="98">
        <f t="shared" si="118"/>
        <v>1084592120.2904661</v>
      </c>
      <c r="H262" s="98">
        <f t="shared" si="114"/>
        <v>1034192120.2904661</v>
      </c>
      <c r="I262" s="97">
        <v>50400000</v>
      </c>
      <c r="J262" s="63"/>
      <c r="K262" s="63"/>
      <c r="L262" s="63"/>
      <c r="M262" s="63"/>
    </row>
    <row r="263" spans="2:13" ht="9.75" x14ac:dyDescent="0.1">
      <c r="B263" s="91"/>
      <c r="C263" s="92" t="s">
        <v>4060</v>
      </c>
      <c r="D263" s="93">
        <f t="shared" ref="D263:E263" si="119">SUM(D264:D269)</f>
        <v>122602</v>
      </c>
      <c r="E263" s="93">
        <f t="shared" si="119"/>
        <v>4200000000</v>
      </c>
      <c r="F263" s="93">
        <f>SUM(F264:F269)</f>
        <v>1426722839.7788653</v>
      </c>
      <c r="G263" s="93">
        <f>SUM(G264:G269)</f>
        <v>5626722839.7788658</v>
      </c>
      <c r="H263" s="93">
        <f t="shared" ref="H263:I263" si="120">SUM(H264:H269)</f>
        <v>5324322839.7788658</v>
      </c>
      <c r="I263" s="93">
        <f t="shared" si="120"/>
        <v>302400000</v>
      </c>
      <c r="J263" s="63"/>
      <c r="K263" s="63"/>
      <c r="L263" s="63"/>
      <c r="M263" s="63"/>
    </row>
    <row r="264" spans="2:13" ht="9.75" x14ac:dyDescent="0.1">
      <c r="B264" s="94">
        <v>60501</v>
      </c>
      <c r="C264" s="95" t="s">
        <v>4061</v>
      </c>
      <c r="D264" s="96">
        <v>24826</v>
      </c>
      <c r="E264" s="97">
        <v>700000000</v>
      </c>
      <c r="F264" s="96">
        <f t="shared" ref="F264:F269" si="121">D264*$H$386</f>
        <v>288900843.54537535</v>
      </c>
      <c r="G264" s="98">
        <f t="shared" ref="G264:G269" si="122">F264+E264</f>
        <v>988900843.54537535</v>
      </c>
      <c r="H264" s="98">
        <f t="shared" ref="H264:H269" si="123">G264-I264</f>
        <v>938500843.54537535</v>
      </c>
      <c r="I264" s="97">
        <v>50400000</v>
      </c>
      <c r="J264" s="63"/>
      <c r="K264" s="63"/>
      <c r="L264" s="63"/>
      <c r="M264" s="63"/>
    </row>
    <row r="265" spans="2:13" ht="9.75" x14ac:dyDescent="0.1">
      <c r="B265" s="94">
        <v>60502</v>
      </c>
      <c r="C265" s="95" t="s">
        <v>4062</v>
      </c>
      <c r="D265" s="96">
        <v>8558</v>
      </c>
      <c r="E265" s="97">
        <v>700000000</v>
      </c>
      <c r="F265" s="96">
        <f t="shared" si="121"/>
        <v>99589680.941807881</v>
      </c>
      <c r="G265" s="98">
        <f t="shared" si="122"/>
        <v>799589680.94180787</v>
      </c>
      <c r="H265" s="98">
        <f t="shared" si="123"/>
        <v>749189680.94180787</v>
      </c>
      <c r="I265" s="97">
        <v>50400000</v>
      </c>
      <c r="J265" s="63"/>
      <c r="K265" s="63"/>
      <c r="L265" s="63"/>
      <c r="M265" s="63"/>
    </row>
    <row r="266" spans="2:13" ht="9.75" x14ac:dyDescent="0.1">
      <c r="B266" s="94">
        <v>60503</v>
      </c>
      <c r="C266" s="95" t="s">
        <v>4063</v>
      </c>
      <c r="D266" s="96">
        <v>26900</v>
      </c>
      <c r="E266" s="97">
        <v>700000000</v>
      </c>
      <c r="F266" s="96">
        <f t="shared" si="121"/>
        <v>313036038.48266321</v>
      </c>
      <c r="G266" s="98">
        <f t="shared" si="122"/>
        <v>1013036038.4826632</v>
      </c>
      <c r="H266" s="98">
        <f t="shared" si="123"/>
        <v>962636038.48266315</v>
      </c>
      <c r="I266" s="97">
        <v>50400000</v>
      </c>
      <c r="J266" s="63"/>
      <c r="K266" s="63"/>
      <c r="L266" s="63"/>
      <c r="M266" s="63"/>
    </row>
    <row r="267" spans="2:13" ht="9.75" x14ac:dyDescent="0.1">
      <c r="B267" s="94">
        <v>60504</v>
      </c>
      <c r="C267" s="95" t="s">
        <v>4064</v>
      </c>
      <c r="D267" s="96">
        <v>19906</v>
      </c>
      <c r="E267" s="97">
        <v>700000000</v>
      </c>
      <c r="F267" s="96">
        <f t="shared" si="121"/>
        <v>231646668.4771708</v>
      </c>
      <c r="G267" s="98">
        <f t="shared" si="122"/>
        <v>931646668.47717083</v>
      </c>
      <c r="H267" s="98">
        <f t="shared" si="123"/>
        <v>881246668.47717083</v>
      </c>
      <c r="I267" s="97">
        <v>50400000</v>
      </c>
      <c r="J267" s="63"/>
      <c r="K267" s="63"/>
      <c r="L267" s="63"/>
      <c r="M267" s="63"/>
    </row>
    <row r="268" spans="2:13" ht="9.75" x14ac:dyDescent="0.1">
      <c r="B268" s="94">
        <v>60505</v>
      </c>
      <c r="C268" s="95" t="s">
        <v>3968</v>
      </c>
      <c r="D268" s="96">
        <v>13684</v>
      </c>
      <c r="E268" s="97">
        <v>700000000</v>
      </c>
      <c r="F268" s="96">
        <f t="shared" si="121"/>
        <v>159241083.66530719</v>
      </c>
      <c r="G268" s="98">
        <f t="shared" si="122"/>
        <v>859241083.66530716</v>
      </c>
      <c r="H268" s="98">
        <f t="shared" si="123"/>
        <v>808841083.66530716</v>
      </c>
      <c r="I268" s="97">
        <v>50400000</v>
      </c>
      <c r="J268" s="63"/>
      <c r="K268" s="63"/>
      <c r="L268" s="63"/>
      <c r="M268" s="63"/>
    </row>
    <row r="269" spans="2:13" ht="9.75" x14ac:dyDescent="0.1">
      <c r="B269" s="94">
        <v>60506</v>
      </c>
      <c r="C269" s="95" t="s">
        <v>4065</v>
      </c>
      <c r="D269" s="96">
        <v>28728</v>
      </c>
      <c r="E269" s="97">
        <v>700000000</v>
      </c>
      <c r="F269" s="96">
        <f t="shared" si="121"/>
        <v>334308524.66654086</v>
      </c>
      <c r="G269" s="98">
        <f t="shared" si="122"/>
        <v>1034308524.6665409</v>
      </c>
      <c r="H269" s="98">
        <f t="shared" si="123"/>
        <v>983908524.66654086</v>
      </c>
      <c r="I269" s="97">
        <v>50400000</v>
      </c>
      <c r="J269" s="63"/>
      <c r="K269" s="63"/>
      <c r="L269" s="63"/>
      <c r="M269" s="63"/>
    </row>
    <row r="270" spans="2:13" ht="9.75" x14ac:dyDescent="0.1">
      <c r="B270" s="88"/>
      <c r="C270" s="89" t="s">
        <v>4066</v>
      </c>
      <c r="D270" s="90">
        <f t="shared" ref="D270:E270" si="124">D271+D284+D299</f>
        <v>897518</v>
      </c>
      <c r="E270" s="90">
        <f t="shared" si="124"/>
        <v>25200000000</v>
      </c>
      <c r="F270" s="90">
        <f>F271+F284+F299</f>
        <v>10444441605.460335</v>
      </c>
      <c r="G270" s="90">
        <f>G271+G284+G299</f>
        <v>35644441605.460335</v>
      </c>
      <c r="H270" s="90">
        <f t="shared" ref="H270:I270" si="125">H271+H284+H299</f>
        <v>33830041605.460327</v>
      </c>
      <c r="I270" s="90">
        <f t="shared" si="125"/>
        <v>1814400000</v>
      </c>
      <c r="J270" s="63"/>
      <c r="K270" s="63"/>
      <c r="L270" s="63"/>
      <c r="M270" s="63"/>
    </row>
    <row r="271" spans="2:13" ht="9.75" x14ac:dyDescent="0.1">
      <c r="B271" s="91"/>
      <c r="C271" s="92" t="s">
        <v>4067</v>
      </c>
      <c r="D271" s="93">
        <f t="shared" ref="D271:E271" si="126">SUM(D272:D283)</f>
        <v>341563</v>
      </c>
      <c r="E271" s="93">
        <f t="shared" si="126"/>
        <v>8400000000</v>
      </c>
      <c r="F271" s="93">
        <f t="shared" ref="F271:I271" si="127">SUM(F272:F283)</f>
        <v>3974778007.8904796</v>
      </c>
      <c r="G271" s="93">
        <f t="shared" si="127"/>
        <v>12374778007.890478</v>
      </c>
      <c r="H271" s="93">
        <f t="shared" si="127"/>
        <v>11769978007.890478</v>
      </c>
      <c r="I271" s="93">
        <f t="shared" si="127"/>
        <v>604800000</v>
      </c>
      <c r="J271" s="63"/>
      <c r="K271" s="63"/>
      <c r="L271" s="63"/>
      <c r="M271" s="63"/>
    </row>
    <row r="272" spans="2:13" ht="9.75" x14ac:dyDescent="0.1">
      <c r="B272" s="94">
        <v>70101</v>
      </c>
      <c r="C272" s="95" t="s">
        <v>4068</v>
      </c>
      <c r="D272" s="96">
        <v>17244</v>
      </c>
      <c r="E272" s="97">
        <v>700000000</v>
      </c>
      <c r="F272" s="96">
        <f t="shared" ref="F272:F283" si="128">D272*$H$386</f>
        <v>200668901.3975853</v>
      </c>
      <c r="G272" s="98">
        <f t="shared" ref="G272:G283" si="129">F272+E272</f>
        <v>900668901.39758527</v>
      </c>
      <c r="H272" s="98">
        <f t="shared" ref="H272:H283" si="130">G272-I272</f>
        <v>850268901.39758527</v>
      </c>
      <c r="I272" s="97">
        <v>50400000</v>
      </c>
      <c r="J272" s="63"/>
      <c r="K272" s="63"/>
      <c r="L272" s="63"/>
      <c r="M272" s="63"/>
    </row>
    <row r="273" spans="2:13" ht="9.75" x14ac:dyDescent="0.1">
      <c r="B273" s="94">
        <v>70102</v>
      </c>
      <c r="C273" s="95" t="s">
        <v>4069</v>
      </c>
      <c r="D273" s="96">
        <v>11970</v>
      </c>
      <c r="E273" s="97">
        <v>700000000</v>
      </c>
      <c r="F273" s="96">
        <f t="shared" si="128"/>
        <v>139295218.61105868</v>
      </c>
      <c r="G273" s="98">
        <f t="shared" si="129"/>
        <v>839295218.61105871</v>
      </c>
      <c r="H273" s="98">
        <f t="shared" si="130"/>
        <v>788895218.61105871</v>
      </c>
      <c r="I273" s="97">
        <v>50400000</v>
      </c>
      <c r="J273" s="63"/>
      <c r="K273" s="63"/>
      <c r="L273" s="63"/>
      <c r="M273" s="63"/>
    </row>
    <row r="274" spans="2:13" ht="9.75" x14ac:dyDescent="0.1">
      <c r="B274" s="94">
        <v>70103</v>
      </c>
      <c r="C274" s="95" t="s">
        <v>4070</v>
      </c>
      <c r="D274" s="96">
        <v>28964</v>
      </c>
      <c r="E274" s="97">
        <v>700000000</v>
      </c>
      <c r="F274" s="96">
        <f t="shared" si="128"/>
        <v>337054863.14542222</v>
      </c>
      <c r="G274" s="98">
        <f t="shared" si="129"/>
        <v>1037054863.1454222</v>
      </c>
      <c r="H274" s="98">
        <f t="shared" si="130"/>
        <v>986654863.14542222</v>
      </c>
      <c r="I274" s="97">
        <v>50400000</v>
      </c>
      <c r="J274" s="63"/>
      <c r="K274" s="63"/>
      <c r="L274" s="63"/>
      <c r="M274" s="63"/>
    </row>
    <row r="275" spans="2:13" ht="9.75" x14ac:dyDescent="0.1">
      <c r="B275" s="94">
        <v>70104</v>
      </c>
      <c r="C275" s="95" t="s">
        <v>4071</v>
      </c>
      <c r="D275" s="96">
        <v>20624</v>
      </c>
      <c r="E275" s="97">
        <v>700000000</v>
      </c>
      <c r="F275" s="96">
        <f t="shared" si="128"/>
        <v>240002054.18834373</v>
      </c>
      <c r="G275" s="98">
        <f t="shared" si="129"/>
        <v>940002054.18834376</v>
      </c>
      <c r="H275" s="98">
        <f t="shared" si="130"/>
        <v>889602054.18834376</v>
      </c>
      <c r="I275" s="97">
        <v>50400000</v>
      </c>
      <c r="J275" s="63"/>
      <c r="K275" s="63"/>
      <c r="L275" s="63"/>
      <c r="M275" s="63"/>
    </row>
    <row r="276" spans="2:13" ht="9.75" x14ac:dyDescent="0.1">
      <c r="B276" s="94">
        <v>70105</v>
      </c>
      <c r="C276" s="95" t="s">
        <v>4072</v>
      </c>
      <c r="D276" s="96">
        <v>23810</v>
      </c>
      <c r="E276" s="97">
        <v>700000000</v>
      </c>
      <c r="F276" s="96">
        <f t="shared" si="128"/>
        <v>277077623.65324205</v>
      </c>
      <c r="G276" s="98">
        <f t="shared" si="129"/>
        <v>977077623.65324211</v>
      </c>
      <c r="H276" s="98">
        <f t="shared" si="130"/>
        <v>926677623.65324211</v>
      </c>
      <c r="I276" s="97">
        <v>50400000</v>
      </c>
      <c r="J276" s="63"/>
      <c r="K276" s="63"/>
      <c r="L276" s="63"/>
      <c r="M276" s="63"/>
    </row>
    <row r="277" spans="2:13" ht="9.75" x14ac:dyDescent="0.1">
      <c r="B277" s="94">
        <v>70106</v>
      </c>
      <c r="C277" s="95" t="s">
        <v>4073</v>
      </c>
      <c r="D277" s="96">
        <v>27008</v>
      </c>
      <c r="E277" s="97">
        <v>700000000</v>
      </c>
      <c r="F277" s="96">
        <f t="shared" si="128"/>
        <v>314292837.44757503</v>
      </c>
      <c r="G277" s="98">
        <f t="shared" si="129"/>
        <v>1014292837.4475751</v>
      </c>
      <c r="H277" s="98">
        <f t="shared" si="130"/>
        <v>963892837.44757509</v>
      </c>
      <c r="I277" s="97">
        <v>50400000</v>
      </c>
      <c r="J277" s="63"/>
      <c r="K277" s="63"/>
      <c r="L277" s="63"/>
      <c r="M277" s="63"/>
    </row>
    <row r="278" spans="2:13" ht="9.75" x14ac:dyDescent="0.1">
      <c r="B278" s="94">
        <v>70107</v>
      </c>
      <c r="C278" s="95" t="s">
        <v>4074</v>
      </c>
      <c r="D278" s="96">
        <v>31789</v>
      </c>
      <c r="E278" s="97">
        <v>700000000</v>
      </c>
      <c r="F278" s="96">
        <f t="shared" si="128"/>
        <v>369929465.69982833</v>
      </c>
      <c r="G278" s="98">
        <f t="shared" si="129"/>
        <v>1069929465.6998284</v>
      </c>
      <c r="H278" s="98">
        <f t="shared" si="130"/>
        <v>1019529465.6998284</v>
      </c>
      <c r="I278" s="97">
        <v>50400000</v>
      </c>
      <c r="J278" s="63"/>
      <c r="K278" s="63"/>
      <c r="L278" s="63"/>
      <c r="M278" s="63"/>
    </row>
    <row r="279" spans="2:13" ht="9.75" x14ac:dyDescent="0.1">
      <c r="B279" s="94">
        <v>70108</v>
      </c>
      <c r="C279" s="95" t="s">
        <v>4075</v>
      </c>
      <c r="D279" s="96">
        <v>33979</v>
      </c>
      <c r="E279" s="97">
        <v>700000000</v>
      </c>
      <c r="F279" s="96">
        <f t="shared" si="128"/>
        <v>395414555.82165104</v>
      </c>
      <c r="G279" s="98">
        <f t="shared" si="129"/>
        <v>1095414555.821651</v>
      </c>
      <c r="H279" s="98">
        <f t="shared" si="130"/>
        <v>1045014555.821651</v>
      </c>
      <c r="I279" s="97">
        <v>50400000</v>
      </c>
      <c r="J279" s="63"/>
      <c r="K279" s="63"/>
      <c r="L279" s="63"/>
      <c r="M279" s="63"/>
    </row>
    <row r="280" spans="2:13" ht="9.75" x14ac:dyDescent="0.1">
      <c r="B280" s="94">
        <v>70109</v>
      </c>
      <c r="C280" s="95" t="s">
        <v>4076</v>
      </c>
      <c r="D280" s="96">
        <v>45672</v>
      </c>
      <c r="E280" s="97">
        <v>700000000</v>
      </c>
      <c r="F280" s="96">
        <f t="shared" si="128"/>
        <v>531486317.82826</v>
      </c>
      <c r="G280" s="98">
        <f t="shared" si="129"/>
        <v>1231486317.8282599</v>
      </c>
      <c r="H280" s="98">
        <f t="shared" si="130"/>
        <v>1181086317.8282599</v>
      </c>
      <c r="I280" s="97">
        <v>50400000</v>
      </c>
      <c r="J280" s="63"/>
      <c r="K280" s="63"/>
      <c r="L280" s="63"/>
      <c r="M280" s="63"/>
    </row>
    <row r="281" spans="2:13" ht="9.75" x14ac:dyDescent="0.1">
      <c r="B281" s="94">
        <v>70110</v>
      </c>
      <c r="C281" s="95" t="s">
        <v>4077</v>
      </c>
      <c r="D281" s="96">
        <v>11152</v>
      </c>
      <c r="E281" s="97">
        <v>700000000</v>
      </c>
      <c r="F281" s="96">
        <f t="shared" si="128"/>
        <v>129776130.15459703</v>
      </c>
      <c r="G281" s="98">
        <f t="shared" si="129"/>
        <v>829776130.15459704</v>
      </c>
      <c r="H281" s="98">
        <f t="shared" si="130"/>
        <v>779376130.15459704</v>
      </c>
      <c r="I281" s="97">
        <v>50400000</v>
      </c>
      <c r="J281" s="63"/>
      <c r="K281" s="63"/>
      <c r="L281" s="63"/>
      <c r="M281" s="63"/>
    </row>
    <row r="282" spans="2:13" ht="9.75" x14ac:dyDescent="0.1">
      <c r="B282" s="94">
        <v>70111</v>
      </c>
      <c r="C282" s="95" t="s">
        <v>4078</v>
      </c>
      <c r="D282" s="96">
        <v>63889</v>
      </c>
      <c r="E282" s="97">
        <v>700000000</v>
      </c>
      <c r="F282" s="96">
        <f t="shared" si="128"/>
        <v>743478046.93750453</v>
      </c>
      <c r="G282" s="98">
        <f t="shared" si="129"/>
        <v>1443478046.9375045</v>
      </c>
      <c r="H282" s="98">
        <f t="shared" si="130"/>
        <v>1393078046.9375045</v>
      </c>
      <c r="I282" s="97">
        <v>50400000</v>
      </c>
      <c r="J282" s="63"/>
      <c r="K282" s="63"/>
      <c r="L282" s="63"/>
      <c r="M282" s="63"/>
    </row>
    <row r="283" spans="2:13" ht="9.75" x14ac:dyDescent="0.1">
      <c r="B283" s="94">
        <v>70112</v>
      </c>
      <c r="C283" s="95" t="s">
        <v>4079</v>
      </c>
      <c r="D283" s="96">
        <v>25462</v>
      </c>
      <c r="E283" s="97">
        <v>700000000</v>
      </c>
      <c r="F283" s="96">
        <f t="shared" si="128"/>
        <v>296301993.00541157</v>
      </c>
      <c r="G283" s="98">
        <f t="shared" si="129"/>
        <v>996301993.00541162</v>
      </c>
      <c r="H283" s="98">
        <f t="shared" si="130"/>
        <v>945901993.00541162</v>
      </c>
      <c r="I283" s="97">
        <v>50400000</v>
      </c>
      <c r="J283" s="63"/>
      <c r="K283" s="63"/>
      <c r="L283" s="63"/>
      <c r="M283" s="63"/>
    </row>
    <row r="284" spans="2:13" ht="9.75" x14ac:dyDescent="0.1">
      <c r="B284" s="91"/>
      <c r="C284" s="92" t="s">
        <v>4080</v>
      </c>
      <c r="D284" s="93">
        <f t="shared" ref="D284:E284" si="131">SUM(D285:D298)</f>
        <v>391777</v>
      </c>
      <c r="E284" s="93">
        <f t="shared" si="131"/>
        <v>9800000000</v>
      </c>
      <c r="F284" s="93">
        <f>SUM(F285:F298)</f>
        <v>4559119704.4097538</v>
      </c>
      <c r="G284" s="93">
        <f>SUM(G285:G298)</f>
        <v>14359119704.409752</v>
      </c>
      <c r="H284" s="93">
        <f t="shared" ref="H284:I284" si="132">SUM(H285:H298)</f>
        <v>13653519704.40975</v>
      </c>
      <c r="I284" s="93">
        <f t="shared" si="132"/>
        <v>705600000</v>
      </c>
      <c r="J284" s="63"/>
      <c r="K284" s="63"/>
      <c r="L284" s="63"/>
      <c r="M284" s="63"/>
    </row>
    <row r="285" spans="2:13" ht="9.75" x14ac:dyDescent="0.1">
      <c r="B285" s="94">
        <v>70201</v>
      </c>
      <c r="C285" s="95" t="s">
        <v>4081</v>
      </c>
      <c r="D285" s="96">
        <v>25661</v>
      </c>
      <c r="E285" s="97">
        <v>700000000</v>
      </c>
      <c r="F285" s="96">
        <f t="shared" ref="F285:F298" si="133">D285*$H$386</f>
        <v>298617761.46853608</v>
      </c>
      <c r="G285" s="98">
        <f t="shared" ref="G285:G298" si="134">F285+E285</f>
        <v>998617761.46853614</v>
      </c>
      <c r="H285" s="98">
        <f t="shared" ref="H285:H309" si="135">G285-I285</f>
        <v>948217761.46853614</v>
      </c>
      <c r="I285" s="97">
        <v>50400000</v>
      </c>
      <c r="J285" s="63"/>
      <c r="K285" s="63"/>
      <c r="L285" s="63"/>
      <c r="M285" s="63"/>
    </row>
    <row r="286" spans="2:13" ht="9.75" x14ac:dyDescent="0.1">
      <c r="B286" s="94">
        <v>70202</v>
      </c>
      <c r="C286" s="95" t="s">
        <v>4082</v>
      </c>
      <c r="D286" s="96">
        <v>37524</v>
      </c>
      <c r="E286" s="97">
        <v>700000000</v>
      </c>
      <c r="F286" s="96">
        <f t="shared" si="133"/>
        <v>436667818.14213586</v>
      </c>
      <c r="G286" s="98">
        <f t="shared" si="134"/>
        <v>1136667818.1421359</v>
      </c>
      <c r="H286" s="98">
        <f t="shared" si="135"/>
        <v>1086267818.1421359</v>
      </c>
      <c r="I286" s="97">
        <v>50400000</v>
      </c>
      <c r="J286" s="63"/>
      <c r="K286" s="63"/>
      <c r="L286" s="63"/>
      <c r="M286" s="63"/>
    </row>
    <row r="287" spans="2:13" ht="9.75" x14ac:dyDescent="0.1">
      <c r="B287" s="94">
        <v>70203</v>
      </c>
      <c r="C287" s="95" t="s">
        <v>4083</v>
      </c>
      <c r="D287" s="96">
        <v>10727</v>
      </c>
      <c r="E287" s="97">
        <v>700000000</v>
      </c>
      <c r="F287" s="96">
        <f t="shared" si="133"/>
        <v>124830393.48712002</v>
      </c>
      <c r="G287" s="98">
        <f t="shared" si="134"/>
        <v>824830393.48712003</v>
      </c>
      <c r="H287" s="98">
        <f t="shared" si="135"/>
        <v>774430393.48712003</v>
      </c>
      <c r="I287" s="97">
        <v>50400000</v>
      </c>
      <c r="J287" s="63"/>
      <c r="K287" s="63"/>
      <c r="L287" s="63"/>
      <c r="M287" s="63"/>
    </row>
    <row r="288" spans="2:13" ht="9.75" x14ac:dyDescent="0.1">
      <c r="B288" s="94">
        <v>70204</v>
      </c>
      <c r="C288" s="95" t="s">
        <v>4084</v>
      </c>
      <c r="D288" s="96">
        <v>23514</v>
      </c>
      <c r="E288" s="97">
        <v>700000000</v>
      </c>
      <c r="F288" s="96">
        <f t="shared" si="133"/>
        <v>273633063.52718747</v>
      </c>
      <c r="G288" s="98">
        <f t="shared" si="134"/>
        <v>973633063.52718747</v>
      </c>
      <c r="H288" s="98">
        <f t="shared" si="135"/>
        <v>923233063.52718747</v>
      </c>
      <c r="I288" s="97">
        <v>50400000</v>
      </c>
      <c r="J288" s="63"/>
      <c r="K288" s="63"/>
      <c r="L288" s="63"/>
      <c r="M288" s="63"/>
    </row>
    <row r="289" spans="2:13" ht="9.75" x14ac:dyDescent="0.1">
      <c r="B289" s="94">
        <v>70205</v>
      </c>
      <c r="C289" s="95" t="s">
        <v>4085</v>
      </c>
      <c r="D289" s="96">
        <v>16024</v>
      </c>
      <c r="E289" s="97">
        <v>700000000</v>
      </c>
      <c r="F289" s="96">
        <f t="shared" si="133"/>
        <v>186471727.90506303</v>
      </c>
      <c r="G289" s="98">
        <f t="shared" si="134"/>
        <v>886471727.90506303</v>
      </c>
      <c r="H289" s="98">
        <f t="shared" si="135"/>
        <v>836071727.90506303</v>
      </c>
      <c r="I289" s="97">
        <v>50400000</v>
      </c>
      <c r="J289" s="63"/>
      <c r="K289" s="63"/>
      <c r="L289" s="63"/>
      <c r="M289" s="63"/>
    </row>
    <row r="290" spans="2:13" ht="9.75" x14ac:dyDescent="0.1">
      <c r="B290" s="94">
        <v>70206</v>
      </c>
      <c r="C290" s="95" t="s">
        <v>4086</v>
      </c>
      <c r="D290" s="96">
        <v>101886</v>
      </c>
      <c r="E290" s="97">
        <v>700000000</v>
      </c>
      <c r="F290" s="96">
        <f t="shared" si="133"/>
        <v>1185650179.0648561</v>
      </c>
      <c r="G290" s="98">
        <f t="shared" si="134"/>
        <v>1885650179.0648561</v>
      </c>
      <c r="H290" s="98">
        <f t="shared" si="135"/>
        <v>1835250179.0648561</v>
      </c>
      <c r="I290" s="97">
        <v>50400000</v>
      </c>
      <c r="J290" s="63"/>
      <c r="K290" s="63"/>
      <c r="L290" s="63"/>
      <c r="M290" s="63"/>
    </row>
    <row r="291" spans="2:13" ht="9.75" x14ac:dyDescent="0.1">
      <c r="B291" s="94">
        <v>70207</v>
      </c>
      <c r="C291" s="95" t="s">
        <v>4087</v>
      </c>
      <c r="D291" s="96">
        <v>15139</v>
      </c>
      <c r="E291" s="97">
        <v>700000000</v>
      </c>
      <c r="F291" s="96">
        <f t="shared" si="133"/>
        <v>176172958.60925794</v>
      </c>
      <c r="G291" s="98">
        <f t="shared" si="134"/>
        <v>876172958.60925794</v>
      </c>
      <c r="H291" s="98">
        <f t="shared" si="135"/>
        <v>825772958.60925794</v>
      </c>
      <c r="I291" s="97">
        <v>50400000</v>
      </c>
      <c r="J291" s="63"/>
      <c r="K291" s="63"/>
      <c r="L291" s="63"/>
      <c r="M291" s="63"/>
    </row>
    <row r="292" spans="2:13" ht="9.75" x14ac:dyDescent="0.1">
      <c r="B292" s="94">
        <v>70208</v>
      </c>
      <c r="C292" s="95" t="s">
        <v>4088</v>
      </c>
      <c r="D292" s="96">
        <v>38988</v>
      </c>
      <c r="E292" s="97">
        <v>700000000</v>
      </c>
      <c r="F292" s="96">
        <f t="shared" si="133"/>
        <v>453704426.33316261</v>
      </c>
      <c r="G292" s="98">
        <f t="shared" si="134"/>
        <v>1153704426.3331625</v>
      </c>
      <c r="H292" s="98">
        <f t="shared" si="135"/>
        <v>1103304426.3331625</v>
      </c>
      <c r="I292" s="97">
        <v>50400000</v>
      </c>
      <c r="J292" s="63"/>
      <c r="K292" s="63"/>
      <c r="L292" s="63"/>
      <c r="M292" s="63"/>
    </row>
    <row r="293" spans="2:13" ht="9.75" x14ac:dyDescent="0.1">
      <c r="B293" s="94">
        <v>70209</v>
      </c>
      <c r="C293" s="95" t="s">
        <v>4089</v>
      </c>
      <c r="D293" s="96">
        <v>27224</v>
      </c>
      <c r="E293" s="97">
        <v>700000000</v>
      </c>
      <c r="F293" s="96">
        <f t="shared" si="133"/>
        <v>316806435.37739867</v>
      </c>
      <c r="G293" s="98">
        <f t="shared" si="134"/>
        <v>1016806435.3773987</v>
      </c>
      <c r="H293" s="98">
        <f t="shared" si="135"/>
        <v>966406435.37739873</v>
      </c>
      <c r="I293" s="97">
        <v>50400000</v>
      </c>
      <c r="J293" s="63"/>
      <c r="K293" s="63"/>
      <c r="L293" s="63"/>
      <c r="M293" s="63"/>
    </row>
    <row r="294" spans="2:13" ht="9.75" x14ac:dyDescent="0.1">
      <c r="B294" s="94">
        <v>70210</v>
      </c>
      <c r="C294" s="95" t="s">
        <v>4090</v>
      </c>
      <c r="D294" s="96">
        <v>28530</v>
      </c>
      <c r="E294" s="97">
        <v>700000000</v>
      </c>
      <c r="F294" s="96">
        <f t="shared" si="133"/>
        <v>332004393.23086923</v>
      </c>
      <c r="G294" s="98">
        <f t="shared" si="134"/>
        <v>1032004393.2308693</v>
      </c>
      <c r="H294" s="98">
        <f t="shared" si="135"/>
        <v>981604393.23086929</v>
      </c>
      <c r="I294" s="97">
        <v>50400000</v>
      </c>
      <c r="J294" s="63"/>
      <c r="K294" s="63"/>
      <c r="L294" s="63"/>
      <c r="M294" s="63"/>
    </row>
    <row r="295" spans="2:13" ht="9.75" x14ac:dyDescent="0.1">
      <c r="B295" s="94">
        <v>70211</v>
      </c>
      <c r="C295" s="95" t="s">
        <v>4091</v>
      </c>
      <c r="D295" s="96">
        <v>27997</v>
      </c>
      <c r="E295" s="97">
        <v>700000000</v>
      </c>
      <c r="F295" s="96">
        <f t="shared" si="133"/>
        <v>325801857.5984804</v>
      </c>
      <c r="G295" s="98">
        <f t="shared" si="134"/>
        <v>1025801857.5984805</v>
      </c>
      <c r="H295" s="98">
        <f t="shared" si="135"/>
        <v>975401857.59848046</v>
      </c>
      <c r="I295" s="97">
        <v>50400000</v>
      </c>
      <c r="J295" s="63"/>
      <c r="K295" s="63"/>
      <c r="L295" s="63"/>
      <c r="M295" s="63"/>
    </row>
    <row r="296" spans="2:13" ht="9.75" x14ac:dyDescent="0.1">
      <c r="B296" s="94">
        <v>70212</v>
      </c>
      <c r="C296" s="95" t="s">
        <v>4092</v>
      </c>
      <c r="D296" s="96">
        <v>11426</v>
      </c>
      <c r="E296" s="97">
        <v>700000000</v>
      </c>
      <c r="F296" s="96">
        <f t="shared" si="133"/>
        <v>132964675.6766881</v>
      </c>
      <c r="G296" s="98">
        <f t="shared" si="134"/>
        <v>832964675.67668808</v>
      </c>
      <c r="H296" s="98">
        <f t="shared" si="135"/>
        <v>782564675.67668808</v>
      </c>
      <c r="I296" s="97">
        <v>50400000</v>
      </c>
      <c r="J296" s="63"/>
      <c r="K296" s="63"/>
      <c r="L296" s="63"/>
      <c r="M296" s="63"/>
    </row>
    <row r="297" spans="2:13" ht="9.75" x14ac:dyDescent="0.1">
      <c r="B297" s="94">
        <v>70213</v>
      </c>
      <c r="C297" s="95" t="s">
        <v>4093</v>
      </c>
      <c r="D297" s="96">
        <v>16423</v>
      </c>
      <c r="E297" s="97">
        <v>700000000</v>
      </c>
      <c r="F297" s="96">
        <f t="shared" si="133"/>
        <v>191114901.85876498</v>
      </c>
      <c r="G297" s="98">
        <f t="shared" si="134"/>
        <v>891114901.85876501</v>
      </c>
      <c r="H297" s="98">
        <f t="shared" si="135"/>
        <v>840714901.85876501</v>
      </c>
      <c r="I297" s="97">
        <v>50400000</v>
      </c>
      <c r="J297" s="63"/>
      <c r="K297" s="63"/>
      <c r="L297" s="63"/>
      <c r="M297" s="63"/>
    </row>
    <row r="298" spans="2:13" ht="9.75" x14ac:dyDescent="0.1">
      <c r="B298" s="94">
        <v>70214</v>
      </c>
      <c r="C298" s="95" t="s">
        <v>4094</v>
      </c>
      <c r="D298" s="96">
        <v>10714</v>
      </c>
      <c r="E298" s="97">
        <v>700000000</v>
      </c>
      <c r="F298" s="96">
        <f t="shared" si="133"/>
        <v>124679112.13023248</v>
      </c>
      <c r="G298" s="98">
        <f t="shared" si="134"/>
        <v>824679112.13023245</v>
      </c>
      <c r="H298" s="98">
        <f t="shared" si="135"/>
        <v>774279112.13023245</v>
      </c>
      <c r="I298" s="97">
        <v>50400000</v>
      </c>
      <c r="J298" s="63"/>
      <c r="K298" s="63"/>
      <c r="L298" s="63"/>
      <c r="M298" s="63"/>
    </row>
    <row r="299" spans="2:13" ht="9.75" x14ac:dyDescent="0.1">
      <c r="B299" s="91"/>
      <c r="C299" s="92" t="s">
        <v>4095</v>
      </c>
      <c r="D299" s="93">
        <f t="shared" ref="D299:E299" si="136">SUM(D300:D309)</f>
        <v>164178</v>
      </c>
      <c r="E299" s="93">
        <f t="shared" si="136"/>
        <v>7000000000</v>
      </c>
      <c r="F299" s="93">
        <f>SUM(F300:F309)</f>
        <v>1910543893.1601002</v>
      </c>
      <c r="G299" s="93">
        <f>SUM(G300:G309)</f>
        <v>8910543893.1601009</v>
      </c>
      <c r="H299" s="93">
        <f t="shared" ref="H299:I299" si="137">SUM(H300:H309)</f>
        <v>8406543893.1601009</v>
      </c>
      <c r="I299" s="93">
        <f t="shared" si="137"/>
        <v>504000000</v>
      </c>
      <c r="J299" s="63"/>
      <c r="K299" s="63"/>
      <c r="L299" s="63"/>
      <c r="M299" s="63"/>
    </row>
    <row r="300" spans="2:13" ht="9.75" x14ac:dyDescent="0.1">
      <c r="B300" s="94">
        <v>70301</v>
      </c>
      <c r="C300" s="95" t="s">
        <v>4096</v>
      </c>
      <c r="D300" s="96">
        <v>11020</v>
      </c>
      <c r="E300" s="97">
        <v>700000000</v>
      </c>
      <c r="F300" s="96">
        <f t="shared" ref="F300:F309" si="138">D300*$H$386</f>
        <v>128240042.53081594</v>
      </c>
      <c r="G300" s="98">
        <f t="shared" ref="G300:G309" si="139">F300+E300</f>
        <v>828240042.53081596</v>
      </c>
      <c r="H300" s="98">
        <f t="shared" si="135"/>
        <v>777840042.53081596</v>
      </c>
      <c r="I300" s="97">
        <v>50400000</v>
      </c>
      <c r="J300" s="63"/>
      <c r="K300" s="63"/>
      <c r="L300" s="63"/>
      <c r="M300" s="63"/>
    </row>
    <row r="301" spans="2:13" ht="9.75" x14ac:dyDescent="0.1">
      <c r="B301" s="94">
        <v>70302</v>
      </c>
      <c r="C301" s="95" t="s">
        <v>4097</v>
      </c>
      <c r="D301" s="96">
        <v>29693</v>
      </c>
      <c r="E301" s="97">
        <v>700000000</v>
      </c>
      <c r="F301" s="96">
        <f t="shared" si="138"/>
        <v>345538256.15857691</v>
      </c>
      <c r="G301" s="98">
        <f t="shared" si="139"/>
        <v>1045538256.158577</v>
      </c>
      <c r="H301" s="98">
        <f t="shared" si="135"/>
        <v>995138256.15857697</v>
      </c>
      <c r="I301" s="97">
        <v>50400000</v>
      </c>
      <c r="J301" s="63"/>
      <c r="K301" s="63"/>
      <c r="L301" s="63"/>
      <c r="M301" s="63"/>
    </row>
    <row r="302" spans="2:13" ht="9.75" x14ac:dyDescent="0.1">
      <c r="B302" s="94">
        <v>70303</v>
      </c>
      <c r="C302" s="95" t="s">
        <v>4098</v>
      </c>
      <c r="D302" s="96">
        <v>16063</v>
      </c>
      <c r="E302" s="97">
        <v>700000000</v>
      </c>
      <c r="F302" s="96">
        <f t="shared" si="138"/>
        <v>186925571.97572562</v>
      </c>
      <c r="G302" s="98">
        <f t="shared" si="139"/>
        <v>886925571.97572565</v>
      </c>
      <c r="H302" s="98">
        <f t="shared" si="135"/>
        <v>836525571.97572565</v>
      </c>
      <c r="I302" s="97">
        <v>50400000</v>
      </c>
      <c r="J302" s="63"/>
      <c r="K302" s="63"/>
      <c r="L302" s="63"/>
      <c r="M302" s="63"/>
    </row>
    <row r="303" spans="2:13" ht="9.75" x14ac:dyDescent="0.1">
      <c r="B303" s="94">
        <v>70304</v>
      </c>
      <c r="C303" s="95" t="s">
        <v>4031</v>
      </c>
      <c r="D303" s="96">
        <v>8632</v>
      </c>
      <c r="E303" s="97">
        <v>700000000</v>
      </c>
      <c r="F303" s="96">
        <f t="shared" si="138"/>
        <v>100450820.97332153</v>
      </c>
      <c r="G303" s="98">
        <f t="shared" si="139"/>
        <v>800450820.97332156</v>
      </c>
      <c r="H303" s="98">
        <f t="shared" si="135"/>
        <v>750050820.97332156</v>
      </c>
      <c r="I303" s="97">
        <v>50400000</v>
      </c>
      <c r="J303" s="63"/>
      <c r="K303" s="63"/>
      <c r="L303" s="63"/>
      <c r="M303" s="63"/>
    </row>
    <row r="304" spans="2:13" ht="9.75" x14ac:dyDescent="0.1">
      <c r="B304" s="94">
        <v>70305</v>
      </c>
      <c r="C304" s="95" t="s">
        <v>4099</v>
      </c>
      <c r="D304" s="96">
        <v>19607</v>
      </c>
      <c r="E304" s="97">
        <v>700000000</v>
      </c>
      <c r="F304" s="96">
        <f t="shared" si="138"/>
        <v>228167197.26875755</v>
      </c>
      <c r="G304" s="98">
        <f t="shared" si="139"/>
        <v>928167197.26875758</v>
      </c>
      <c r="H304" s="98">
        <f t="shared" si="135"/>
        <v>877767197.26875758</v>
      </c>
      <c r="I304" s="97">
        <v>50400000</v>
      </c>
      <c r="J304" s="63"/>
      <c r="K304" s="63"/>
      <c r="L304" s="63"/>
      <c r="M304" s="63"/>
    </row>
    <row r="305" spans="2:13" ht="9.75" x14ac:dyDescent="0.1">
      <c r="B305" s="94">
        <v>70306</v>
      </c>
      <c r="C305" s="95" t="s">
        <v>4100</v>
      </c>
      <c r="D305" s="96">
        <v>14182</v>
      </c>
      <c r="E305" s="97">
        <v>700000000</v>
      </c>
      <c r="F305" s="96">
        <f t="shared" si="138"/>
        <v>165036323.33684498</v>
      </c>
      <c r="G305" s="98">
        <f t="shared" si="139"/>
        <v>865036323.33684492</v>
      </c>
      <c r="H305" s="98">
        <f t="shared" si="135"/>
        <v>814636323.33684492</v>
      </c>
      <c r="I305" s="97">
        <v>50400000</v>
      </c>
      <c r="J305" s="63"/>
      <c r="K305" s="63"/>
      <c r="L305" s="63"/>
      <c r="M305" s="63"/>
    </row>
    <row r="306" spans="2:13" ht="9.75" x14ac:dyDescent="0.1">
      <c r="B306" s="94">
        <v>70307</v>
      </c>
      <c r="C306" s="95" t="s">
        <v>3965</v>
      </c>
      <c r="D306" s="96">
        <v>20739</v>
      </c>
      <c r="E306" s="97">
        <v>700000000</v>
      </c>
      <c r="F306" s="96">
        <f t="shared" si="138"/>
        <v>241340312.34542575</v>
      </c>
      <c r="G306" s="98">
        <f t="shared" si="139"/>
        <v>941340312.34542572</v>
      </c>
      <c r="H306" s="98">
        <f t="shared" si="135"/>
        <v>890940312.34542572</v>
      </c>
      <c r="I306" s="97">
        <v>50400000</v>
      </c>
      <c r="J306" s="63"/>
      <c r="K306" s="63"/>
      <c r="L306" s="63"/>
      <c r="M306" s="63"/>
    </row>
    <row r="307" spans="2:13" ht="9.75" x14ac:dyDescent="0.1">
      <c r="B307" s="94">
        <v>70308</v>
      </c>
      <c r="C307" s="95" t="s">
        <v>4101</v>
      </c>
      <c r="D307" s="96">
        <v>10055</v>
      </c>
      <c r="E307" s="97">
        <v>700000000</v>
      </c>
      <c r="F307" s="96">
        <f t="shared" si="138"/>
        <v>117010311.03877988</v>
      </c>
      <c r="G307" s="98">
        <f t="shared" si="139"/>
        <v>817010311.03877985</v>
      </c>
      <c r="H307" s="98">
        <f t="shared" si="135"/>
        <v>766610311.03877985</v>
      </c>
      <c r="I307" s="97">
        <v>50400000</v>
      </c>
      <c r="J307" s="63"/>
      <c r="K307" s="63"/>
      <c r="L307" s="63"/>
      <c r="M307" s="63"/>
    </row>
    <row r="308" spans="2:13" ht="9.75" x14ac:dyDescent="0.1">
      <c r="B308" s="94">
        <v>70309</v>
      </c>
      <c r="C308" s="95" t="s">
        <v>4102</v>
      </c>
      <c r="D308" s="96">
        <v>16882</v>
      </c>
      <c r="E308" s="97">
        <v>700000000</v>
      </c>
      <c r="F308" s="96">
        <f t="shared" si="138"/>
        <v>196456297.45964018</v>
      </c>
      <c r="G308" s="98">
        <f t="shared" si="139"/>
        <v>896456297.45964015</v>
      </c>
      <c r="H308" s="98">
        <f t="shared" si="135"/>
        <v>846056297.45964015</v>
      </c>
      <c r="I308" s="97">
        <v>50400000</v>
      </c>
      <c r="J308" s="63"/>
      <c r="K308" s="63"/>
      <c r="L308" s="63"/>
      <c r="M308" s="63"/>
    </row>
    <row r="309" spans="2:13" ht="9.75" x14ac:dyDescent="0.1">
      <c r="B309" s="94">
        <v>70310</v>
      </c>
      <c r="C309" s="95" t="s">
        <v>4103</v>
      </c>
      <c r="D309" s="96">
        <v>17305</v>
      </c>
      <c r="E309" s="97">
        <v>700000000</v>
      </c>
      <c r="F309" s="96">
        <f t="shared" si="138"/>
        <v>201378760.07221141</v>
      </c>
      <c r="G309" s="98">
        <f t="shared" si="139"/>
        <v>901378760.07221138</v>
      </c>
      <c r="H309" s="98">
        <f t="shared" si="135"/>
        <v>850978760.07221138</v>
      </c>
      <c r="I309" s="97">
        <v>50400000</v>
      </c>
      <c r="J309" s="63"/>
      <c r="K309" s="63"/>
      <c r="L309" s="63"/>
      <c r="M309" s="63"/>
    </row>
    <row r="310" spans="2:13" ht="9.75" x14ac:dyDescent="0.1">
      <c r="B310" s="88"/>
      <c r="C310" s="89" t="s">
        <v>4104</v>
      </c>
      <c r="D310" s="90">
        <f t="shared" ref="D310:E310" si="140">D311+D319+D329+D344+D356+D372</f>
        <v>1938226</v>
      </c>
      <c r="E310" s="90">
        <f t="shared" si="140"/>
        <v>46200000000</v>
      </c>
      <c r="F310" s="90">
        <f>F311+F319+F329+F344+F356+F372</f>
        <v>22555189171.89957</v>
      </c>
      <c r="G310" s="90">
        <f>G311+G319+G329+G344+G356+G372</f>
        <v>68755189171.899567</v>
      </c>
      <c r="H310" s="90">
        <f t="shared" ref="H310:I310" si="141">H311+H319+H329+H344+H356+H372</f>
        <v>65428789171.899567</v>
      </c>
      <c r="I310" s="90">
        <f t="shared" si="141"/>
        <v>3326400000</v>
      </c>
      <c r="J310" s="63"/>
      <c r="K310" s="63"/>
      <c r="L310" s="63"/>
      <c r="M310" s="63"/>
    </row>
    <row r="311" spans="2:13" ht="9.75" x14ac:dyDescent="0.1">
      <c r="B311" s="91"/>
      <c r="C311" s="92" t="s">
        <v>4105</v>
      </c>
      <c r="D311" s="93">
        <f t="shared" ref="D311:E311" si="142">SUM(D312:D318)</f>
        <v>140457</v>
      </c>
      <c r="E311" s="93">
        <f t="shared" si="142"/>
        <v>4900000000</v>
      </c>
      <c r="F311" s="93">
        <f t="shared" ref="F311:I311" si="143">SUM(F312:F318)</f>
        <v>1634501964.9501648</v>
      </c>
      <c r="G311" s="93">
        <f t="shared" si="143"/>
        <v>6534501964.9501648</v>
      </c>
      <c r="H311" s="93">
        <f t="shared" si="143"/>
        <v>6181701964.9501648</v>
      </c>
      <c r="I311" s="93">
        <f t="shared" si="143"/>
        <v>352800000</v>
      </c>
      <c r="J311" s="63"/>
      <c r="K311" s="63"/>
      <c r="L311" s="63"/>
      <c r="M311" s="63"/>
    </row>
    <row r="312" spans="2:13" ht="9.75" x14ac:dyDescent="0.1">
      <c r="B312" s="94">
        <v>80101</v>
      </c>
      <c r="C312" s="95" t="s">
        <v>4106</v>
      </c>
      <c r="D312" s="96">
        <v>14523</v>
      </c>
      <c r="E312" s="97">
        <v>700000000</v>
      </c>
      <c r="F312" s="96">
        <f t="shared" ref="F312:F318" si="144">D312*$H$386</f>
        <v>169004549.69827947</v>
      </c>
      <c r="G312" s="98">
        <f t="shared" ref="G312:G318" si="145">F312+E312</f>
        <v>869004549.6982795</v>
      </c>
      <c r="H312" s="98">
        <f t="shared" ref="H312:H318" si="146">G312-I312</f>
        <v>818604549.6982795</v>
      </c>
      <c r="I312" s="97">
        <v>50400000</v>
      </c>
      <c r="J312" s="63"/>
      <c r="K312" s="63"/>
      <c r="L312" s="63"/>
      <c r="M312" s="63"/>
    </row>
    <row r="313" spans="2:13" ht="9.75" x14ac:dyDescent="0.1">
      <c r="B313" s="94">
        <v>80102</v>
      </c>
      <c r="C313" s="95" t="s">
        <v>4107</v>
      </c>
      <c r="D313" s="96">
        <v>12964</v>
      </c>
      <c r="E313" s="97">
        <v>700000000</v>
      </c>
      <c r="F313" s="96">
        <f t="shared" si="144"/>
        <v>150862423.89922848</v>
      </c>
      <c r="G313" s="98">
        <f t="shared" si="145"/>
        <v>850862423.89922845</v>
      </c>
      <c r="H313" s="98">
        <f t="shared" si="146"/>
        <v>800462423.89922845</v>
      </c>
      <c r="I313" s="97">
        <v>50400000</v>
      </c>
      <c r="J313" s="63"/>
      <c r="K313" s="63"/>
      <c r="L313" s="63"/>
      <c r="M313" s="63"/>
    </row>
    <row r="314" spans="2:13" ht="9.75" x14ac:dyDescent="0.1">
      <c r="B314" s="94">
        <v>80103</v>
      </c>
      <c r="C314" s="95" t="s">
        <v>4108</v>
      </c>
      <c r="D314" s="96">
        <v>18260</v>
      </c>
      <c r="E314" s="97">
        <v>700000000</v>
      </c>
      <c r="F314" s="96">
        <f t="shared" si="144"/>
        <v>212492121.2897186</v>
      </c>
      <c r="G314" s="98">
        <f t="shared" si="145"/>
        <v>912492121.28971863</v>
      </c>
      <c r="H314" s="98">
        <f t="shared" si="146"/>
        <v>862092121.28971863</v>
      </c>
      <c r="I314" s="97">
        <v>50400000</v>
      </c>
      <c r="J314" s="63"/>
      <c r="K314" s="63"/>
      <c r="L314" s="63"/>
      <c r="M314" s="63"/>
    </row>
    <row r="315" spans="2:13" ht="9.75" x14ac:dyDescent="0.1">
      <c r="B315" s="94">
        <v>80104</v>
      </c>
      <c r="C315" s="95" t="s">
        <v>4109</v>
      </c>
      <c r="D315" s="96">
        <v>17566</v>
      </c>
      <c r="E315" s="97">
        <v>700000000</v>
      </c>
      <c r="F315" s="96">
        <f t="shared" si="144"/>
        <v>204416024.23741496</v>
      </c>
      <c r="G315" s="98">
        <f t="shared" si="145"/>
        <v>904416024.23741496</v>
      </c>
      <c r="H315" s="98">
        <f t="shared" si="146"/>
        <v>854016024.23741496</v>
      </c>
      <c r="I315" s="97">
        <v>50400000</v>
      </c>
      <c r="J315" s="63"/>
      <c r="K315" s="63"/>
      <c r="L315" s="63"/>
      <c r="M315" s="63"/>
    </row>
    <row r="316" spans="2:13" ht="9.75" x14ac:dyDescent="0.1">
      <c r="B316" s="94">
        <v>80105</v>
      </c>
      <c r="C316" s="95" t="s">
        <v>4110</v>
      </c>
      <c r="D316" s="96">
        <v>39078</v>
      </c>
      <c r="E316" s="97">
        <v>700000000</v>
      </c>
      <c r="F316" s="96">
        <f t="shared" si="144"/>
        <v>454751758.80392241</v>
      </c>
      <c r="G316" s="98">
        <f t="shared" si="145"/>
        <v>1154751758.8039224</v>
      </c>
      <c r="H316" s="98">
        <f t="shared" si="146"/>
        <v>1104351758.8039224</v>
      </c>
      <c r="I316" s="97">
        <v>50400000</v>
      </c>
      <c r="J316" s="63"/>
      <c r="K316" s="63"/>
      <c r="L316" s="63"/>
      <c r="M316" s="63"/>
    </row>
    <row r="317" spans="2:13" ht="9.75" x14ac:dyDescent="0.1">
      <c r="B317" s="94">
        <v>80106</v>
      </c>
      <c r="C317" s="95" t="s">
        <v>4111</v>
      </c>
      <c r="D317" s="96">
        <v>19509</v>
      </c>
      <c r="E317" s="97">
        <v>700000000</v>
      </c>
      <c r="F317" s="96">
        <f t="shared" si="144"/>
        <v>227026768.57837459</v>
      </c>
      <c r="G317" s="98">
        <f t="shared" si="145"/>
        <v>927026768.57837462</v>
      </c>
      <c r="H317" s="98">
        <f t="shared" si="146"/>
        <v>876626768.57837462</v>
      </c>
      <c r="I317" s="97">
        <v>50400000</v>
      </c>
      <c r="J317" s="63"/>
      <c r="K317" s="63"/>
      <c r="L317" s="63"/>
      <c r="M317" s="63"/>
    </row>
    <row r="318" spans="2:13" ht="9.75" x14ac:dyDescent="0.1">
      <c r="B318" s="94">
        <v>80107</v>
      </c>
      <c r="C318" s="95" t="s">
        <v>4112</v>
      </c>
      <c r="D318" s="96">
        <v>18557</v>
      </c>
      <c r="E318" s="97">
        <v>700000000</v>
      </c>
      <c r="F318" s="96">
        <f t="shared" si="144"/>
        <v>215948318.44322607</v>
      </c>
      <c r="G318" s="98">
        <f t="shared" si="145"/>
        <v>915948318.4432261</v>
      </c>
      <c r="H318" s="98">
        <f t="shared" si="146"/>
        <v>865548318.4432261</v>
      </c>
      <c r="I318" s="97">
        <v>50400000</v>
      </c>
      <c r="J318" s="63"/>
      <c r="K318" s="63"/>
      <c r="L318" s="63"/>
      <c r="M318" s="63"/>
    </row>
    <row r="319" spans="2:13" ht="9.75" x14ac:dyDescent="0.1">
      <c r="B319" s="91"/>
      <c r="C319" s="92" t="s">
        <v>4113</v>
      </c>
      <c r="D319" s="93">
        <f t="shared" ref="D319:E319" si="147">SUM(D320:D328)</f>
        <v>210833</v>
      </c>
      <c r="E319" s="93">
        <f t="shared" si="147"/>
        <v>6300000000</v>
      </c>
      <c r="F319" s="93">
        <f>SUM(F320:F328)</f>
        <v>2453469408.9745479</v>
      </c>
      <c r="G319" s="93">
        <f t="shared" ref="G319:I319" si="148">SUM(G320:G328)</f>
        <v>8753469408.9745483</v>
      </c>
      <c r="H319" s="93">
        <f t="shared" si="148"/>
        <v>8299869408.9745474</v>
      </c>
      <c r="I319" s="93">
        <f t="shared" si="148"/>
        <v>453600000</v>
      </c>
      <c r="J319" s="63"/>
      <c r="K319" s="63"/>
      <c r="L319" s="63"/>
      <c r="M319" s="63"/>
    </row>
    <row r="320" spans="2:13" ht="9.75" x14ac:dyDescent="0.1">
      <c r="B320" s="94">
        <v>80201</v>
      </c>
      <c r="C320" s="95" t="s">
        <v>4114</v>
      </c>
      <c r="D320" s="96">
        <v>12145</v>
      </c>
      <c r="E320" s="97">
        <v>700000000</v>
      </c>
      <c r="F320" s="96">
        <f t="shared" ref="F320:F328" si="149">D320*$H$386</f>
        <v>141331698.41531393</v>
      </c>
      <c r="G320" s="98">
        <f t="shared" ref="G320:G328" si="150">F320+E320</f>
        <v>841331698.41531396</v>
      </c>
      <c r="H320" s="98">
        <f t="shared" ref="H320:H328" si="151">G320-I320</f>
        <v>790931698.41531396</v>
      </c>
      <c r="I320" s="97">
        <v>50400000</v>
      </c>
      <c r="J320" s="63"/>
      <c r="K320" s="63"/>
      <c r="L320" s="63"/>
      <c r="M320" s="63"/>
    </row>
    <row r="321" spans="2:13" ht="9.75" x14ac:dyDescent="0.1">
      <c r="B321" s="94">
        <v>80202</v>
      </c>
      <c r="C321" s="95" t="s">
        <v>4115</v>
      </c>
      <c r="D321" s="96">
        <v>23449</v>
      </c>
      <c r="E321" s="97">
        <v>700000000</v>
      </c>
      <c r="F321" s="96">
        <f t="shared" si="149"/>
        <v>272876656.74274981</v>
      </c>
      <c r="G321" s="98">
        <f t="shared" si="150"/>
        <v>972876656.74274981</v>
      </c>
      <c r="H321" s="98">
        <f t="shared" si="151"/>
        <v>922476656.74274981</v>
      </c>
      <c r="I321" s="97">
        <v>50400000</v>
      </c>
      <c r="J321" s="63"/>
      <c r="K321" s="63"/>
      <c r="L321" s="63"/>
      <c r="M321" s="63"/>
    </row>
    <row r="322" spans="2:13" ht="9.75" x14ac:dyDescent="0.1">
      <c r="B322" s="94">
        <v>80203</v>
      </c>
      <c r="C322" s="95" t="s">
        <v>4116</v>
      </c>
      <c r="D322" s="96">
        <v>20216</v>
      </c>
      <c r="E322" s="97">
        <v>700000000</v>
      </c>
      <c r="F322" s="96">
        <f t="shared" si="149"/>
        <v>235254146.98756579</v>
      </c>
      <c r="G322" s="98">
        <f t="shared" si="150"/>
        <v>935254146.98756576</v>
      </c>
      <c r="H322" s="98">
        <f t="shared" si="151"/>
        <v>884854146.98756576</v>
      </c>
      <c r="I322" s="97">
        <v>50400000</v>
      </c>
      <c r="J322" s="63"/>
      <c r="K322" s="63"/>
      <c r="L322" s="63"/>
      <c r="M322" s="63"/>
    </row>
    <row r="323" spans="2:13" ht="9.75" x14ac:dyDescent="0.1">
      <c r="B323" s="94">
        <v>80204</v>
      </c>
      <c r="C323" s="95" t="s">
        <v>4117</v>
      </c>
      <c r="D323" s="96">
        <v>25618</v>
      </c>
      <c r="E323" s="97">
        <v>700000000</v>
      </c>
      <c r="F323" s="96">
        <f t="shared" si="149"/>
        <v>298117369.28806198</v>
      </c>
      <c r="G323" s="98">
        <f t="shared" si="150"/>
        <v>998117369.28806198</v>
      </c>
      <c r="H323" s="98">
        <f t="shared" si="151"/>
        <v>947717369.28806198</v>
      </c>
      <c r="I323" s="97">
        <v>50400000</v>
      </c>
      <c r="J323" s="63"/>
      <c r="K323" s="63"/>
      <c r="L323" s="63"/>
      <c r="M323" s="63"/>
    </row>
    <row r="324" spans="2:13" ht="9.75" x14ac:dyDescent="0.1">
      <c r="B324" s="94">
        <v>80205</v>
      </c>
      <c r="C324" s="95" t="s">
        <v>4118</v>
      </c>
      <c r="D324" s="96">
        <v>17954</v>
      </c>
      <c r="E324" s="97">
        <v>700000000</v>
      </c>
      <c r="F324" s="96">
        <f t="shared" si="149"/>
        <v>208931190.88913515</v>
      </c>
      <c r="G324" s="98">
        <f t="shared" si="150"/>
        <v>908931190.88913512</v>
      </c>
      <c r="H324" s="98">
        <f t="shared" si="151"/>
        <v>858531190.88913512</v>
      </c>
      <c r="I324" s="97">
        <v>50400000</v>
      </c>
      <c r="J324" s="63"/>
      <c r="K324" s="63"/>
      <c r="L324" s="63"/>
      <c r="M324" s="63"/>
    </row>
    <row r="325" spans="2:13" ht="9.75" x14ac:dyDescent="0.1">
      <c r="B325" s="94">
        <v>80206</v>
      </c>
      <c r="C325" s="95" t="s">
        <v>4119</v>
      </c>
      <c r="D325" s="96">
        <v>20042</v>
      </c>
      <c r="E325" s="97">
        <v>700000000</v>
      </c>
      <c r="F325" s="96">
        <f t="shared" si="149"/>
        <v>233229304.21076342</v>
      </c>
      <c r="G325" s="98">
        <f t="shared" si="150"/>
        <v>933229304.21076345</v>
      </c>
      <c r="H325" s="98">
        <f t="shared" si="151"/>
        <v>882829304.21076345</v>
      </c>
      <c r="I325" s="97">
        <v>50400000</v>
      </c>
      <c r="J325" s="63"/>
      <c r="K325" s="63"/>
      <c r="L325" s="63"/>
      <c r="M325" s="63"/>
    </row>
    <row r="326" spans="2:13" ht="9.75" x14ac:dyDescent="0.1">
      <c r="B326" s="94">
        <v>80207</v>
      </c>
      <c r="C326" s="95" t="s">
        <v>4120</v>
      </c>
      <c r="D326" s="96">
        <v>58981</v>
      </c>
      <c r="E326" s="97">
        <v>700000000</v>
      </c>
      <c r="F326" s="96">
        <f t="shared" si="149"/>
        <v>686363516.19873452</v>
      </c>
      <c r="G326" s="98">
        <f t="shared" si="150"/>
        <v>1386363516.1987345</v>
      </c>
      <c r="H326" s="98">
        <f t="shared" si="151"/>
        <v>1335963516.1987345</v>
      </c>
      <c r="I326" s="97">
        <v>50400000</v>
      </c>
      <c r="J326" s="63"/>
      <c r="K326" s="63"/>
      <c r="L326" s="63"/>
      <c r="M326" s="63"/>
    </row>
    <row r="327" spans="2:13" ht="9.75" x14ac:dyDescent="0.1">
      <c r="B327" s="94">
        <v>80208</v>
      </c>
      <c r="C327" s="95" t="s">
        <v>4121</v>
      </c>
      <c r="D327" s="96">
        <v>18504</v>
      </c>
      <c r="E327" s="97">
        <v>700000000</v>
      </c>
      <c r="F327" s="96">
        <f t="shared" si="149"/>
        <v>215331555.98822305</v>
      </c>
      <c r="G327" s="98">
        <f t="shared" si="150"/>
        <v>915331555.98822308</v>
      </c>
      <c r="H327" s="98">
        <f t="shared" si="151"/>
        <v>864931555.98822308</v>
      </c>
      <c r="I327" s="97">
        <v>50400000</v>
      </c>
      <c r="J327" s="63"/>
      <c r="K327" s="63"/>
      <c r="L327" s="63"/>
      <c r="M327" s="63"/>
    </row>
    <row r="328" spans="2:13" ht="9.75" x14ac:dyDescent="0.1">
      <c r="B328" s="94">
        <v>80209</v>
      </c>
      <c r="C328" s="95" t="s">
        <v>4122</v>
      </c>
      <c r="D328" s="96">
        <v>13924</v>
      </c>
      <c r="E328" s="97">
        <v>700000000</v>
      </c>
      <c r="F328" s="96">
        <f t="shared" si="149"/>
        <v>162033970.2540001</v>
      </c>
      <c r="G328" s="98">
        <f t="shared" si="150"/>
        <v>862033970.25400007</v>
      </c>
      <c r="H328" s="98">
        <f t="shared" si="151"/>
        <v>811633970.25400007</v>
      </c>
      <c r="I328" s="97">
        <v>50400000</v>
      </c>
      <c r="J328" s="63"/>
      <c r="K328" s="63"/>
      <c r="L328" s="63"/>
      <c r="M328" s="63"/>
    </row>
    <row r="329" spans="2:13" ht="9.75" x14ac:dyDescent="0.1">
      <c r="B329" s="91"/>
      <c r="C329" s="92" t="s">
        <v>4123</v>
      </c>
      <c r="D329" s="93">
        <f t="shared" ref="D329:E329" si="152">SUM(D330:D343)</f>
        <v>400731</v>
      </c>
      <c r="E329" s="93">
        <f t="shared" si="152"/>
        <v>9800000000</v>
      </c>
      <c r="F329" s="93">
        <f>SUM(F330:F343)</f>
        <v>4663317648.2229042</v>
      </c>
      <c r="G329" s="93">
        <f>SUM(G330:G343)</f>
        <v>14463317648.222904</v>
      </c>
      <c r="H329" s="93">
        <f t="shared" ref="H329:I329" si="153">SUM(H330:H343)</f>
        <v>13757717648.222904</v>
      </c>
      <c r="I329" s="93">
        <f t="shared" si="153"/>
        <v>705600000</v>
      </c>
      <c r="J329" s="63"/>
      <c r="K329" s="63"/>
      <c r="L329" s="63"/>
      <c r="M329" s="63"/>
    </row>
    <row r="330" spans="2:13" ht="9.75" x14ac:dyDescent="0.1">
      <c r="B330" s="94">
        <v>80301</v>
      </c>
      <c r="C330" s="95" t="s">
        <v>4124</v>
      </c>
      <c r="D330" s="96">
        <v>39554</v>
      </c>
      <c r="E330" s="97">
        <v>700000000</v>
      </c>
      <c r="F330" s="96">
        <f t="shared" ref="F330:F343" si="154">D330*$H$386</f>
        <v>460290983.87149668</v>
      </c>
      <c r="G330" s="98">
        <f t="shared" ref="G330:G343" si="155">F330+E330</f>
        <v>1160290983.8714967</v>
      </c>
      <c r="H330" s="98">
        <f t="shared" ref="H330:H382" si="156">G330-I330</f>
        <v>1109890983.8714967</v>
      </c>
      <c r="I330" s="97">
        <v>50400000</v>
      </c>
      <c r="J330" s="63"/>
      <c r="K330" s="63"/>
      <c r="L330" s="63"/>
      <c r="M330" s="63"/>
    </row>
    <row r="331" spans="2:13" ht="9.75" x14ac:dyDescent="0.1">
      <c r="B331" s="94">
        <v>80302</v>
      </c>
      <c r="C331" s="95" t="s">
        <v>4125</v>
      </c>
      <c r="D331" s="96">
        <v>27702</v>
      </c>
      <c r="E331" s="97">
        <v>700000000</v>
      </c>
      <c r="F331" s="96">
        <f t="shared" si="154"/>
        <v>322368934.4998787</v>
      </c>
      <c r="G331" s="98">
        <f t="shared" si="155"/>
        <v>1022368934.4998786</v>
      </c>
      <c r="H331" s="98">
        <f t="shared" si="156"/>
        <v>971968934.49987864</v>
      </c>
      <c r="I331" s="97">
        <v>50400000</v>
      </c>
      <c r="J331" s="63"/>
      <c r="K331" s="63"/>
      <c r="L331" s="63"/>
      <c r="M331" s="63"/>
    </row>
    <row r="332" spans="2:13" ht="9.75" x14ac:dyDescent="0.1">
      <c r="B332" s="94">
        <v>80303</v>
      </c>
      <c r="C332" s="95" t="s">
        <v>4126</v>
      </c>
      <c r="D332" s="96">
        <v>13936</v>
      </c>
      <c r="E332" s="97">
        <v>700000000</v>
      </c>
      <c r="F332" s="96">
        <f t="shared" si="154"/>
        <v>162173614.58343476</v>
      </c>
      <c r="G332" s="98">
        <f t="shared" si="155"/>
        <v>862173614.58343482</v>
      </c>
      <c r="H332" s="98">
        <f t="shared" si="156"/>
        <v>811773614.58343482</v>
      </c>
      <c r="I332" s="97">
        <v>50400000</v>
      </c>
      <c r="J332" s="63"/>
      <c r="K332" s="63"/>
      <c r="L332" s="63"/>
      <c r="M332" s="63"/>
    </row>
    <row r="333" spans="2:13" ht="9.75" x14ac:dyDescent="0.1">
      <c r="B333" s="94">
        <v>80304</v>
      </c>
      <c r="C333" s="95" t="s">
        <v>4127</v>
      </c>
      <c r="D333" s="96">
        <v>20796</v>
      </c>
      <c r="E333" s="97">
        <v>700000000</v>
      </c>
      <c r="F333" s="96">
        <f t="shared" si="154"/>
        <v>242003622.91024032</v>
      </c>
      <c r="G333" s="98">
        <f t="shared" si="155"/>
        <v>942003622.91024029</v>
      </c>
      <c r="H333" s="98">
        <f t="shared" si="156"/>
        <v>891603622.91024029</v>
      </c>
      <c r="I333" s="97">
        <v>50400000</v>
      </c>
      <c r="J333" s="63"/>
      <c r="K333" s="63"/>
      <c r="L333" s="63"/>
      <c r="M333" s="63"/>
    </row>
    <row r="334" spans="2:13" ht="9.75" x14ac:dyDescent="0.1">
      <c r="B334" s="94">
        <v>80305</v>
      </c>
      <c r="C334" s="95" t="s">
        <v>4128</v>
      </c>
      <c r="D334" s="96">
        <v>20423</v>
      </c>
      <c r="E334" s="97">
        <v>700000000</v>
      </c>
      <c r="F334" s="96">
        <f t="shared" si="154"/>
        <v>237663011.67031342</v>
      </c>
      <c r="G334" s="98">
        <f t="shared" si="155"/>
        <v>937663011.67031336</v>
      </c>
      <c r="H334" s="98">
        <f t="shared" si="156"/>
        <v>887263011.67031336</v>
      </c>
      <c r="I334" s="97">
        <v>50400000</v>
      </c>
      <c r="J334" s="63"/>
      <c r="K334" s="63"/>
      <c r="L334" s="63"/>
      <c r="M334" s="63"/>
    </row>
    <row r="335" spans="2:13" ht="9.75" x14ac:dyDescent="0.1">
      <c r="B335" s="94">
        <v>80306</v>
      </c>
      <c r="C335" s="95" t="s">
        <v>4129</v>
      </c>
      <c r="D335" s="96">
        <v>27619</v>
      </c>
      <c r="E335" s="97">
        <v>700000000</v>
      </c>
      <c r="F335" s="96">
        <f t="shared" si="154"/>
        <v>321403061.22128904</v>
      </c>
      <c r="G335" s="98">
        <f t="shared" si="155"/>
        <v>1021403061.221289</v>
      </c>
      <c r="H335" s="98">
        <f t="shared" si="156"/>
        <v>971003061.22128904</v>
      </c>
      <c r="I335" s="97">
        <v>50400000</v>
      </c>
      <c r="J335" s="63"/>
      <c r="K335" s="63"/>
      <c r="L335" s="63"/>
      <c r="M335" s="63"/>
    </row>
    <row r="336" spans="2:13" ht="9.75" x14ac:dyDescent="0.1">
      <c r="B336" s="94">
        <v>80307</v>
      </c>
      <c r="C336" s="95" t="s">
        <v>4130</v>
      </c>
      <c r="D336" s="96">
        <v>43469</v>
      </c>
      <c r="E336" s="97">
        <v>700000000</v>
      </c>
      <c r="F336" s="96">
        <f t="shared" si="154"/>
        <v>505849946.34954971</v>
      </c>
      <c r="G336" s="98">
        <f t="shared" si="155"/>
        <v>1205849946.3495498</v>
      </c>
      <c r="H336" s="98">
        <f t="shared" si="156"/>
        <v>1155449946.3495498</v>
      </c>
      <c r="I336" s="97">
        <v>50400000</v>
      </c>
      <c r="J336" s="63"/>
      <c r="K336" s="63"/>
      <c r="L336" s="63"/>
      <c r="M336" s="63"/>
    </row>
    <row r="337" spans="2:13" ht="9.75" x14ac:dyDescent="0.1">
      <c r="B337" s="94">
        <v>80308</v>
      </c>
      <c r="C337" s="95" t="s">
        <v>4131</v>
      </c>
      <c r="D337" s="96">
        <v>13291</v>
      </c>
      <c r="E337" s="97">
        <v>700000000</v>
      </c>
      <c r="F337" s="96">
        <f t="shared" si="154"/>
        <v>154667731.87632257</v>
      </c>
      <c r="G337" s="98">
        <f t="shared" si="155"/>
        <v>854667731.87632251</v>
      </c>
      <c r="H337" s="98">
        <f t="shared" si="156"/>
        <v>804267731.87632251</v>
      </c>
      <c r="I337" s="97">
        <v>50400000</v>
      </c>
      <c r="J337" s="63"/>
      <c r="K337" s="63"/>
      <c r="L337" s="63"/>
      <c r="M337" s="63"/>
    </row>
    <row r="338" spans="2:13" ht="9.75" x14ac:dyDescent="0.1">
      <c r="B338" s="94">
        <v>80309</v>
      </c>
      <c r="C338" s="95" t="s">
        <v>4132</v>
      </c>
      <c r="D338" s="96">
        <v>16111</v>
      </c>
      <c r="E338" s="97">
        <v>700000000</v>
      </c>
      <c r="F338" s="96">
        <f t="shared" si="154"/>
        <v>187484149.29346421</v>
      </c>
      <c r="G338" s="98">
        <f t="shared" si="155"/>
        <v>887484149.29346418</v>
      </c>
      <c r="H338" s="98">
        <f t="shared" si="156"/>
        <v>837084149.29346418</v>
      </c>
      <c r="I338" s="97">
        <v>50400000</v>
      </c>
      <c r="J338" s="63"/>
      <c r="K338" s="63"/>
      <c r="L338" s="63"/>
      <c r="M338" s="63"/>
    </row>
    <row r="339" spans="2:13" ht="9.75" x14ac:dyDescent="0.1">
      <c r="B339" s="94">
        <v>80310</v>
      </c>
      <c r="C339" s="95" t="s">
        <v>4133</v>
      </c>
      <c r="D339" s="96">
        <v>19218</v>
      </c>
      <c r="E339" s="97">
        <v>700000000</v>
      </c>
      <c r="F339" s="96">
        <f t="shared" si="154"/>
        <v>223640393.58958444</v>
      </c>
      <c r="G339" s="98">
        <f t="shared" si="155"/>
        <v>923640393.58958447</v>
      </c>
      <c r="H339" s="98">
        <f t="shared" si="156"/>
        <v>873240393.58958447</v>
      </c>
      <c r="I339" s="97">
        <v>50400000</v>
      </c>
      <c r="J339" s="63"/>
      <c r="K339" s="63"/>
      <c r="L339" s="63"/>
      <c r="M339" s="63"/>
    </row>
    <row r="340" spans="2:13" ht="9.75" x14ac:dyDescent="0.1">
      <c r="B340" s="94">
        <v>80311</v>
      </c>
      <c r="C340" s="95" t="s">
        <v>4134</v>
      </c>
      <c r="D340" s="96">
        <v>19204</v>
      </c>
      <c r="E340" s="97">
        <v>700000000</v>
      </c>
      <c r="F340" s="96">
        <f t="shared" si="154"/>
        <v>223477475.20524403</v>
      </c>
      <c r="G340" s="98">
        <f t="shared" si="155"/>
        <v>923477475.20524406</v>
      </c>
      <c r="H340" s="98">
        <f t="shared" si="156"/>
        <v>873077475.20524406</v>
      </c>
      <c r="I340" s="97">
        <v>50400000</v>
      </c>
      <c r="J340" s="63"/>
      <c r="K340" s="63"/>
      <c r="L340" s="63"/>
      <c r="M340" s="63"/>
    </row>
    <row r="341" spans="2:13" ht="9.75" x14ac:dyDescent="0.1">
      <c r="B341" s="94">
        <v>80312</v>
      </c>
      <c r="C341" s="95" t="s">
        <v>4135</v>
      </c>
      <c r="D341" s="96">
        <v>29802</v>
      </c>
      <c r="E341" s="97">
        <v>700000000</v>
      </c>
      <c r="F341" s="96">
        <f t="shared" si="154"/>
        <v>346806692.15094161</v>
      </c>
      <c r="G341" s="98">
        <f t="shared" si="155"/>
        <v>1046806692.1509416</v>
      </c>
      <c r="H341" s="98">
        <f t="shared" si="156"/>
        <v>996406692.15094161</v>
      </c>
      <c r="I341" s="97">
        <v>50400000</v>
      </c>
      <c r="J341" s="63"/>
      <c r="K341" s="63"/>
      <c r="L341" s="63"/>
      <c r="M341" s="63"/>
    </row>
    <row r="342" spans="2:13" ht="9.75" x14ac:dyDescent="0.1">
      <c r="B342" s="94">
        <v>80313</v>
      </c>
      <c r="C342" s="95" t="s">
        <v>4136</v>
      </c>
      <c r="D342" s="96">
        <v>98441</v>
      </c>
      <c r="E342" s="97">
        <v>700000000</v>
      </c>
      <c r="F342" s="96">
        <f t="shared" si="154"/>
        <v>1145560619.4896598</v>
      </c>
      <c r="G342" s="98">
        <f t="shared" si="155"/>
        <v>1845560619.4896598</v>
      </c>
      <c r="H342" s="98">
        <f t="shared" si="156"/>
        <v>1795160619.4896598</v>
      </c>
      <c r="I342" s="97">
        <v>50400000</v>
      </c>
      <c r="J342" s="63"/>
      <c r="K342" s="63"/>
      <c r="L342" s="63"/>
      <c r="M342" s="63"/>
    </row>
    <row r="343" spans="2:13" ht="9.75" x14ac:dyDescent="0.1">
      <c r="B343" s="94">
        <v>80314</v>
      </c>
      <c r="C343" s="95" t="s">
        <v>4137</v>
      </c>
      <c r="D343" s="96">
        <v>11165</v>
      </c>
      <c r="E343" s="97">
        <v>700000000</v>
      </c>
      <c r="F343" s="96">
        <f t="shared" si="154"/>
        <v>129927411.51148456</v>
      </c>
      <c r="G343" s="98">
        <f t="shared" si="155"/>
        <v>829927411.51148462</v>
      </c>
      <c r="H343" s="98">
        <f t="shared" si="156"/>
        <v>779527411.51148462</v>
      </c>
      <c r="I343" s="97">
        <v>50400000</v>
      </c>
      <c r="J343" s="63"/>
      <c r="K343" s="63"/>
      <c r="L343" s="63"/>
      <c r="M343" s="63"/>
    </row>
    <row r="344" spans="2:13" ht="9.75" x14ac:dyDescent="0.1">
      <c r="B344" s="91"/>
      <c r="C344" s="92" t="s">
        <v>4138</v>
      </c>
      <c r="D344" s="93">
        <f t="shared" ref="D344:E344" si="157">SUM(D345:D355)</f>
        <v>487141</v>
      </c>
      <c r="E344" s="93">
        <f t="shared" si="157"/>
        <v>7700000000</v>
      </c>
      <c r="F344" s="93">
        <f>SUM(F345:F355)</f>
        <v>5668873190.4268789</v>
      </c>
      <c r="G344" s="93">
        <f>SUM(G345:G355)</f>
        <v>13368873190.426878</v>
      </c>
      <c r="H344" s="93">
        <f t="shared" ref="H344:I344" si="158">SUM(H345:H355)</f>
        <v>12814473190.426878</v>
      </c>
      <c r="I344" s="93">
        <f t="shared" si="158"/>
        <v>554400000</v>
      </c>
      <c r="J344" s="63"/>
      <c r="K344" s="63"/>
      <c r="L344" s="63"/>
      <c r="M344" s="63"/>
    </row>
    <row r="345" spans="2:13" ht="9.75" x14ac:dyDescent="0.1">
      <c r="B345" s="94">
        <v>80401</v>
      </c>
      <c r="C345" s="95" t="s">
        <v>4139</v>
      </c>
      <c r="D345" s="96">
        <v>27021</v>
      </c>
      <c r="E345" s="97">
        <v>700000000</v>
      </c>
      <c r="F345" s="96">
        <f t="shared" ref="F345:F355" si="159">D345*$H$386</f>
        <v>314444118.80446255</v>
      </c>
      <c r="G345" s="98">
        <f t="shared" ref="G345:G355" si="160">F345+E345</f>
        <v>1014444118.8044626</v>
      </c>
      <c r="H345" s="98">
        <f t="shared" si="156"/>
        <v>964044118.80446255</v>
      </c>
      <c r="I345" s="97">
        <v>50400000</v>
      </c>
      <c r="J345" s="63"/>
      <c r="K345" s="63"/>
      <c r="L345" s="63"/>
      <c r="M345" s="63"/>
    </row>
    <row r="346" spans="2:13" ht="9.75" x14ac:dyDescent="0.1">
      <c r="B346" s="94">
        <v>80402</v>
      </c>
      <c r="C346" s="95" t="s">
        <v>4140</v>
      </c>
      <c r="D346" s="96">
        <v>23547</v>
      </c>
      <c r="E346" s="97">
        <v>700000000</v>
      </c>
      <c r="F346" s="96">
        <f t="shared" si="159"/>
        <v>274017085.43313277</v>
      </c>
      <c r="G346" s="98">
        <f t="shared" si="160"/>
        <v>974017085.43313277</v>
      </c>
      <c r="H346" s="98">
        <f t="shared" si="156"/>
        <v>923617085.43313277</v>
      </c>
      <c r="I346" s="97">
        <v>50400000</v>
      </c>
      <c r="J346" s="63"/>
      <c r="K346" s="63"/>
      <c r="L346" s="63"/>
      <c r="M346" s="63"/>
    </row>
    <row r="347" spans="2:13" ht="9.75" x14ac:dyDescent="0.1">
      <c r="B347" s="94">
        <v>80403</v>
      </c>
      <c r="C347" s="95" t="s">
        <v>4141</v>
      </c>
      <c r="D347" s="96">
        <v>18677</v>
      </c>
      <c r="E347" s="97">
        <v>700000000</v>
      </c>
      <c r="F347" s="96">
        <f t="shared" si="159"/>
        <v>217344761.73757252</v>
      </c>
      <c r="G347" s="98">
        <f t="shared" si="160"/>
        <v>917344761.73757255</v>
      </c>
      <c r="H347" s="98">
        <f t="shared" si="156"/>
        <v>866944761.73757255</v>
      </c>
      <c r="I347" s="97">
        <v>50400000</v>
      </c>
      <c r="J347" s="63"/>
      <c r="K347" s="63"/>
      <c r="L347" s="63"/>
      <c r="M347" s="63"/>
    </row>
    <row r="348" spans="2:13" ht="9.75" x14ac:dyDescent="0.1">
      <c r="B348" s="94">
        <v>80404</v>
      </c>
      <c r="C348" s="95" t="s">
        <v>4142</v>
      </c>
      <c r="D348" s="96">
        <v>23392</v>
      </c>
      <c r="E348" s="97">
        <v>700000000</v>
      </c>
      <c r="F348" s="96">
        <f t="shared" si="159"/>
        <v>272213346.17793524</v>
      </c>
      <c r="G348" s="98">
        <f t="shared" si="160"/>
        <v>972213346.17793524</v>
      </c>
      <c r="H348" s="98">
        <f t="shared" si="156"/>
        <v>921813346.17793524</v>
      </c>
      <c r="I348" s="97">
        <v>50400000</v>
      </c>
      <c r="J348" s="63"/>
      <c r="K348" s="63"/>
      <c r="L348" s="63"/>
      <c r="M348" s="63"/>
    </row>
    <row r="349" spans="2:13" ht="9.75" x14ac:dyDescent="0.1">
      <c r="B349" s="94">
        <v>80405</v>
      </c>
      <c r="C349" s="95" t="s">
        <v>4143</v>
      </c>
      <c r="D349" s="96">
        <v>23253</v>
      </c>
      <c r="E349" s="97">
        <v>700000000</v>
      </c>
      <c r="F349" s="96">
        <f t="shared" si="159"/>
        <v>270595799.36198395</v>
      </c>
      <c r="G349" s="98">
        <f t="shared" si="160"/>
        <v>970595799.36198401</v>
      </c>
      <c r="H349" s="98">
        <f t="shared" si="156"/>
        <v>920195799.36198401</v>
      </c>
      <c r="I349" s="97">
        <v>50400000</v>
      </c>
      <c r="J349" s="63"/>
      <c r="K349" s="63"/>
      <c r="L349" s="63"/>
      <c r="M349" s="63"/>
    </row>
    <row r="350" spans="2:13" ht="9.75" x14ac:dyDescent="0.1">
      <c r="B350" s="94">
        <v>80406</v>
      </c>
      <c r="C350" s="95" t="s">
        <v>4144</v>
      </c>
      <c r="D350" s="96">
        <v>239670</v>
      </c>
      <c r="E350" s="97">
        <v>700000000</v>
      </c>
      <c r="F350" s="96">
        <f t="shared" si="159"/>
        <v>2789046369.6334534</v>
      </c>
      <c r="G350" s="98">
        <f t="shared" si="160"/>
        <v>3489046369.6334534</v>
      </c>
      <c r="H350" s="98">
        <f t="shared" si="156"/>
        <v>3438646369.6334534</v>
      </c>
      <c r="I350" s="97">
        <v>50400000</v>
      </c>
      <c r="J350" s="63"/>
      <c r="K350" s="63"/>
      <c r="L350" s="63"/>
      <c r="M350" s="63"/>
    </row>
    <row r="351" spans="2:13" ht="9.75" x14ac:dyDescent="0.1">
      <c r="B351" s="94">
        <v>80407</v>
      </c>
      <c r="C351" s="95" t="s">
        <v>4145</v>
      </c>
      <c r="D351" s="96">
        <v>12443</v>
      </c>
      <c r="E351" s="97">
        <v>700000000</v>
      </c>
      <c r="F351" s="96">
        <f t="shared" si="159"/>
        <v>144799532.59627429</v>
      </c>
      <c r="G351" s="98">
        <f t="shared" si="160"/>
        <v>844799532.59627426</v>
      </c>
      <c r="H351" s="98">
        <f t="shared" si="156"/>
        <v>794399532.59627426</v>
      </c>
      <c r="I351" s="97">
        <v>50400000</v>
      </c>
      <c r="J351" s="63"/>
      <c r="K351" s="63"/>
      <c r="L351" s="63"/>
      <c r="M351" s="63"/>
    </row>
    <row r="352" spans="2:13" ht="9.75" x14ac:dyDescent="0.1">
      <c r="B352" s="94">
        <v>80408</v>
      </c>
      <c r="C352" s="95" t="s">
        <v>4146</v>
      </c>
      <c r="D352" s="96">
        <v>45999</v>
      </c>
      <c r="E352" s="97">
        <v>700000000</v>
      </c>
      <c r="F352" s="96">
        <f t="shared" si="159"/>
        <v>535291625.80535412</v>
      </c>
      <c r="G352" s="98">
        <f t="shared" si="160"/>
        <v>1235291625.8053541</v>
      </c>
      <c r="H352" s="98">
        <f t="shared" si="156"/>
        <v>1184891625.8053541</v>
      </c>
      <c r="I352" s="97">
        <v>50400000</v>
      </c>
      <c r="J352" s="63"/>
      <c r="K352" s="63"/>
      <c r="L352" s="63"/>
      <c r="M352" s="63"/>
    </row>
    <row r="353" spans="2:13" ht="9.75" x14ac:dyDescent="0.1">
      <c r="B353" s="94">
        <v>80409</v>
      </c>
      <c r="C353" s="95" t="s">
        <v>4147</v>
      </c>
      <c r="D353" s="96">
        <v>26646</v>
      </c>
      <c r="E353" s="97">
        <v>700000000</v>
      </c>
      <c r="F353" s="96">
        <f t="shared" si="159"/>
        <v>310080233.50962991</v>
      </c>
      <c r="G353" s="98">
        <f t="shared" si="160"/>
        <v>1010080233.50963</v>
      </c>
      <c r="H353" s="98">
        <f t="shared" si="156"/>
        <v>959680233.50962996</v>
      </c>
      <c r="I353" s="97">
        <v>50400000</v>
      </c>
      <c r="J353" s="63"/>
      <c r="K353" s="63"/>
      <c r="L353" s="63"/>
      <c r="M353" s="63"/>
    </row>
    <row r="354" spans="2:13" ht="9.75" x14ac:dyDescent="0.1">
      <c r="B354" s="94">
        <v>80410</v>
      </c>
      <c r="C354" s="95" t="s">
        <v>4148</v>
      </c>
      <c r="D354" s="96">
        <v>15762</v>
      </c>
      <c r="E354" s="97">
        <v>700000000</v>
      </c>
      <c r="F354" s="96">
        <f t="shared" si="159"/>
        <v>183422826.71240661</v>
      </c>
      <c r="G354" s="98">
        <f t="shared" si="160"/>
        <v>883422826.71240664</v>
      </c>
      <c r="H354" s="98">
        <f t="shared" si="156"/>
        <v>833022826.71240664</v>
      </c>
      <c r="I354" s="97">
        <v>50400000</v>
      </c>
      <c r="J354" s="63"/>
      <c r="K354" s="63"/>
      <c r="L354" s="63"/>
      <c r="M354" s="63"/>
    </row>
    <row r="355" spans="2:13" ht="9.75" x14ac:dyDescent="0.1">
      <c r="B355" s="94">
        <v>80411</v>
      </c>
      <c r="C355" s="95" t="s">
        <v>4149</v>
      </c>
      <c r="D355" s="96">
        <v>30731</v>
      </c>
      <c r="E355" s="97">
        <v>700000000</v>
      </c>
      <c r="F355" s="96">
        <f t="shared" si="159"/>
        <v>357617490.65467376</v>
      </c>
      <c r="G355" s="98">
        <f t="shared" si="160"/>
        <v>1057617490.6546738</v>
      </c>
      <c r="H355" s="98">
        <f t="shared" si="156"/>
        <v>1007217490.6546738</v>
      </c>
      <c r="I355" s="97">
        <v>50400000</v>
      </c>
      <c r="J355" s="63"/>
      <c r="K355" s="63"/>
      <c r="L355" s="63"/>
      <c r="M355" s="63"/>
    </row>
    <row r="356" spans="2:13" ht="9.75" x14ac:dyDescent="0.1">
      <c r="B356" s="91"/>
      <c r="C356" s="92" t="s">
        <v>4150</v>
      </c>
      <c r="D356" s="93">
        <f t="shared" ref="D356:E356" si="161">SUM(D357:D371)</f>
        <v>342165</v>
      </c>
      <c r="E356" s="93">
        <f t="shared" si="161"/>
        <v>10500000000</v>
      </c>
      <c r="F356" s="93">
        <f>SUM(F357:F371)</f>
        <v>3981783498.4171171</v>
      </c>
      <c r="G356" s="93">
        <f>SUM(G357:G371)</f>
        <v>14481783498.41712</v>
      </c>
      <c r="H356" s="93">
        <f t="shared" ref="H356:I356" si="162">SUM(H357:H371)</f>
        <v>13725783498.41712</v>
      </c>
      <c r="I356" s="93">
        <f t="shared" si="162"/>
        <v>756000000</v>
      </c>
      <c r="J356" s="63"/>
      <c r="K356" s="63"/>
      <c r="L356" s="63"/>
      <c r="M356" s="63"/>
    </row>
    <row r="357" spans="2:13" ht="9.75" x14ac:dyDescent="0.1">
      <c r="B357" s="94">
        <v>80501</v>
      </c>
      <c r="C357" s="95" t="s">
        <v>4151</v>
      </c>
      <c r="D357" s="96">
        <v>18055</v>
      </c>
      <c r="E357" s="97">
        <v>700000000</v>
      </c>
      <c r="F357" s="96">
        <f t="shared" ref="F357:F368" si="163">D357*$H$386</f>
        <v>210106530.66187674</v>
      </c>
      <c r="G357" s="98">
        <f t="shared" ref="G357:G371" si="164">F357+E357</f>
        <v>910106530.66187668</v>
      </c>
      <c r="H357" s="98">
        <f t="shared" si="156"/>
        <v>859706530.66187668</v>
      </c>
      <c r="I357" s="97">
        <v>50400000</v>
      </c>
      <c r="J357" s="63"/>
      <c r="K357" s="63"/>
      <c r="L357" s="63"/>
      <c r="M357" s="63"/>
    </row>
    <row r="358" spans="2:13" ht="9.75" x14ac:dyDescent="0.1">
      <c r="B358" s="94">
        <v>80502</v>
      </c>
      <c r="C358" s="95" t="s">
        <v>4152</v>
      </c>
      <c r="D358" s="96">
        <v>21736</v>
      </c>
      <c r="E358" s="97">
        <v>700000000</v>
      </c>
      <c r="F358" s="96">
        <f t="shared" si="163"/>
        <v>252942428.71595418</v>
      </c>
      <c r="G358" s="98">
        <f t="shared" si="164"/>
        <v>952942428.71595418</v>
      </c>
      <c r="H358" s="98">
        <f t="shared" si="156"/>
        <v>902542428.71595418</v>
      </c>
      <c r="I358" s="97">
        <v>50400000</v>
      </c>
      <c r="J358" s="63"/>
      <c r="K358" s="63"/>
      <c r="L358" s="63"/>
      <c r="M358" s="63"/>
    </row>
    <row r="359" spans="2:13" ht="9.75" x14ac:dyDescent="0.1">
      <c r="B359" s="94">
        <v>80503</v>
      </c>
      <c r="C359" s="95" t="s">
        <v>4153</v>
      </c>
      <c r="D359" s="96">
        <v>16963</v>
      </c>
      <c r="E359" s="97">
        <v>700000000</v>
      </c>
      <c r="F359" s="96">
        <f t="shared" si="163"/>
        <v>197398896.68332404</v>
      </c>
      <c r="G359" s="98">
        <f t="shared" si="164"/>
        <v>897398896.6833241</v>
      </c>
      <c r="H359" s="98">
        <f t="shared" si="156"/>
        <v>846998896.6833241</v>
      </c>
      <c r="I359" s="97">
        <v>50400000</v>
      </c>
      <c r="J359" s="63"/>
      <c r="K359" s="63"/>
      <c r="L359" s="63"/>
      <c r="M359" s="63"/>
    </row>
    <row r="360" spans="2:13" ht="9.75" x14ac:dyDescent="0.1">
      <c r="B360" s="94">
        <v>80504</v>
      </c>
      <c r="C360" s="95" t="s">
        <v>4154</v>
      </c>
      <c r="D360" s="96">
        <v>17874</v>
      </c>
      <c r="E360" s="97">
        <v>700000000</v>
      </c>
      <c r="F360" s="96">
        <f t="shared" si="163"/>
        <v>208000228.69290417</v>
      </c>
      <c r="G360" s="98">
        <f t="shared" si="164"/>
        <v>908000228.69290423</v>
      </c>
      <c r="H360" s="98">
        <f t="shared" si="156"/>
        <v>857600228.69290423</v>
      </c>
      <c r="I360" s="97">
        <v>50400000</v>
      </c>
      <c r="J360" s="63"/>
      <c r="K360" s="63"/>
      <c r="L360" s="63"/>
      <c r="M360" s="63"/>
    </row>
    <row r="361" spans="2:13" ht="9.75" x14ac:dyDescent="0.1">
      <c r="B361" s="94">
        <v>80505</v>
      </c>
      <c r="C361" s="95" t="s">
        <v>4155</v>
      </c>
      <c r="D361" s="96">
        <v>17072</v>
      </c>
      <c r="E361" s="97">
        <v>700000000</v>
      </c>
      <c r="F361" s="96">
        <f t="shared" si="163"/>
        <v>198667332.67568871</v>
      </c>
      <c r="G361" s="98">
        <f t="shared" si="164"/>
        <v>898667332.67568874</v>
      </c>
      <c r="H361" s="98">
        <f t="shared" si="156"/>
        <v>848267332.67568874</v>
      </c>
      <c r="I361" s="97">
        <v>50400000</v>
      </c>
      <c r="J361" s="63"/>
      <c r="K361" s="63"/>
      <c r="L361" s="63"/>
      <c r="M361" s="63"/>
    </row>
    <row r="362" spans="2:13" ht="9.75" x14ac:dyDescent="0.1">
      <c r="B362" s="94">
        <v>80506</v>
      </c>
      <c r="C362" s="95" t="s">
        <v>4156</v>
      </c>
      <c r="D362" s="96">
        <v>37144</v>
      </c>
      <c r="E362" s="97">
        <v>700000000</v>
      </c>
      <c r="F362" s="96">
        <f t="shared" si="163"/>
        <v>432245747.71003878</v>
      </c>
      <c r="G362" s="98">
        <f t="shared" si="164"/>
        <v>1132245747.7100387</v>
      </c>
      <c r="H362" s="98">
        <f t="shared" si="156"/>
        <v>1081845747.7100387</v>
      </c>
      <c r="I362" s="97">
        <v>50400000</v>
      </c>
      <c r="J362" s="63"/>
      <c r="K362" s="63"/>
      <c r="L362" s="63"/>
      <c r="M362" s="63"/>
    </row>
    <row r="363" spans="2:13" ht="9.75" x14ac:dyDescent="0.1">
      <c r="B363" s="94">
        <v>80507</v>
      </c>
      <c r="C363" s="95" t="s">
        <v>4157</v>
      </c>
      <c r="D363" s="96">
        <v>30737</v>
      </c>
      <c r="E363" s="97">
        <v>700000000</v>
      </c>
      <c r="F363" s="96">
        <f t="shared" si="163"/>
        <v>357687312.81939107</v>
      </c>
      <c r="G363" s="98">
        <f t="shared" si="164"/>
        <v>1057687312.819391</v>
      </c>
      <c r="H363" s="98">
        <f t="shared" si="156"/>
        <v>1007287312.819391</v>
      </c>
      <c r="I363" s="97">
        <v>50400000</v>
      </c>
      <c r="J363" s="63"/>
      <c r="K363" s="63"/>
      <c r="L363" s="63"/>
      <c r="M363" s="63"/>
    </row>
    <row r="364" spans="2:13" ht="9.75" x14ac:dyDescent="0.1">
      <c r="B364" s="94">
        <v>80508</v>
      </c>
      <c r="C364" s="95" t="s">
        <v>4158</v>
      </c>
      <c r="D364" s="96">
        <v>80796</v>
      </c>
      <c r="E364" s="97">
        <v>700000000</v>
      </c>
      <c r="F364" s="96">
        <f t="shared" si="163"/>
        <v>940225270.08346689</v>
      </c>
      <c r="G364" s="98">
        <f t="shared" si="164"/>
        <v>1640225270.083467</v>
      </c>
      <c r="H364" s="98">
        <f t="shared" si="156"/>
        <v>1589825270.083467</v>
      </c>
      <c r="I364" s="97">
        <v>50400000</v>
      </c>
      <c r="J364" s="63"/>
      <c r="K364" s="63"/>
      <c r="L364" s="63"/>
      <c r="M364" s="63"/>
    </row>
    <row r="365" spans="2:13" ht="9.75" x14ac:dyDescent="0.1">
      <c r="B365" s="94">
        <v>80509</v>
      </c>
      <c r="C365" s="95" t="s">
        <v>4159</v>
      </c>
      <c r="D365" s="96">
        <v>19992</v>
      </c>
      <c r="E365" s="97">
        <v>700000000</v>
      </c>
      <c r="F365" s="96">
        <f t="shared" si="163"/>
        <v>232647452.83811909</v>
      </c>
      <c r="G365" s="98">
        <f t="shared" si="164"/>
        <v>932647452.83811903</v>
      </c>
      <c r="H365" s="98">
        <f t="shared" si="156"/>
        <v>882247452.83811903</v>
      </c>
      <c r="I365" s="97">
        <v>50400000</v>
      </c>
      <c r="J365" s="63"/>
      <c r="K365" s="63"/>
      <c r="L365" s="63"/>
      <c r="M365" s="63"/>
    </row>
    <row r="366" spans="2:13" ht="9.75" x14ac:dyDescent="0.1">
      <c r="B366" s="94">
        <v>80510</v>
      </c>
      <c r="C366" s="95" t="s">
        <v>4160</v>
      </c>
      <c r="D366" s="96">
        <v>11063</v>
      </c>
      <c r="E366" s="97">
        <v>700000000</v>
      </c>
      <c r="F366" s="96">
        <f t="shared" si="163"/>
        <v>128740434.71129008</v>
      </c>
      <c r="G366" s="98">
        <f t="shared" si="164"/>
        <v>828740434.71129012</v>
      </c>
      <c r="H366" s="98">
        <f t="shared" si="156"/>
        <v>778340434.71129012</v>
      </c>
      <c r="I366" s="97">
        <v>50400000</v>
      </c>
      <c r="J366" s="63"/>
      <c r="K366" s="63"/>
      <c r="L366" s="63"/>
      <c r="M366" s="63"/>
    </row>
    <row r="367" spans="2:13" ht="9.75" x14ac:dyDescent="0.1">
      <c r="B367" s="94">
        <v>80511</v>
      </c>
      <c r="C367" s="95" t="s">
        <v>4161</v>
      </c>
      <c r="D367" s="96">
        <v>10372</v>
      </c>
      <c r="E367" s="97">
        <v>700000000</v>
      </c>
      <c r="F367" s="96">
        <f t="shared" si="163"/>
        <v>120699248.74134509</v>
      </c>
      <c r="G367" s="98">
        <f t="shared" si="164"/>
        <v>820699248.74134505</v>
      </c>
      <c r="H367" s="98">
        <f t="shared" si="156"/>
        <v>770299248.74134505</v>
      </c>
      <c r="I367" s="97">
        <v>50400000</v>
      </c>
      <c r="J367" s="63"/>
      <c r="K367" s="63"/>
      <c r="L367" s="63"/>
      <c r="M367" s="63"/>
    </row>
    <row r="368" spans="2:13" ht="9.75" x14ac:dyDescent="0.1">
      <c r="B368" s="94">
        <v>80512</v>
      </c>
      <c r="C368" s="95" t="s">
        <v>4162</v>
      </c>
      <c r="D368" s="96">
        <v>16915</v>
      </c>
      <c r="E368" s="97">
        <v>700000000</v>
      </c>
      <c r="F368" s="96">
        <f t="shared" si="163"/>
        <v>196840319.36558545</v>
      </c>
      <c r="G368" s="98">
        <f t="shared" si="164"/>
        <v>896840319.36558545</v>
      </c>
      <c r="H368" s="98">
        <f t="shared" si="156"/>
        <v>846440319.36558545</v>
      </c>
      <c r="I368" s="97">
        <v>50400000</v>
      </c>
      <c r="J368" s="63"/>
      <c r="K368" s="63"/>
      <c r="L368" s="63"/>
      <c r="M368" s="63"/>
    </row>
    <row r="369" spans="2:13" ht="9.75" x14ac:dyDescent="0.1">
      <c r="B369" s="94">
        <v>80513</v>
      </c>
      <c r="C369" s="95" t="s">
        <v>4163</v>
      </c>
      <c r="D369" s="96">
        <v>24884</v>
      </c>
      <c r="E369" s="97">
        <v>700000000</v>
      </c>
      <c r="F369" s="96">
        <f>D369*$H386</f>
        <v>289575791.1376428</v>
      </c>
      <c r="G369" s="98">
        <f t="shared" si="164"/>
        <v>989575791.13764286</v>
      </c>
      <c r="H369" s="98">
        <f t="shared" si="156"/>
        <v>939175791.13764286</v>
      </c>
      <c r="I369" s="97">
        <v>50400000</v>
      </c>
      <c r="J369" s="63"/>
      <c r="K369" s="63"/>
      <c r="L369" s="63"/>
      <c r="M369" s="63"/>
    </row>
    <row r="370" spans="2:13" ht="9.75" x14ac:dyDescent="0.1">
      <c r="B370" s="94">
        <v>80514</v>
      </c>
      <c r="C370" s="95" t="s">
        <v>4164</v>
      </c>
      <c r="D370" s="96">
        <v>10551</v>
      </c>
      <c r="E370" s="97">
        <v>700000000</v>
      </c>
      <c r="F370" s="96">
        <f>D370*$H$386</f>
        <v>122782276.65541188</v>
      </c>
      <c r="G370" s="98">
        <f t="shared" si="164"/>
        <v>822782276.65541184</v>
      </c>
      <c r="H370" s="98">
        <f t="shared" si="156"/>
        <v>772382276.65541184</v>
      </c>
      <c r="I370" s="97">
        <v>50400000</v>
      </c>
      <c r="J370" s="63"/>
      <c r="K370" s="63"/>
      <c r="L370" s="63"/>
      <c r="M370" s="63"/>
    </row>
    <row r="371" spans="2:13" ht="9.75" x14ac:dyDescent="0.1">
      <c r="B371" s="94">
        <v>80515</v>
      </c>
      <c r="C371" s="95" t="s">
        <v>4165</v>
      </c>
      <c r="D371" s="96">
        <v>8011</v>
      </c>
      <c r="E371" s="97">
        <v>700000000</v>
      </c>
      <c r="F371" s="96">
        <f>D371*$H$386</f>
        <v>93224226.92507863</v>
      </c>
      <c r="G371" s="98">
        <f t="shared" si="164"/>
        <v>793224226.92507863</v>
      </c>
      <c r="H371" s="98">
        <f t="shared" si="156"/>
        <v>742824226.92507863</v>
      </c>
      <c r="I371" s="97">
        <v>50400000</v>
      </c>
      <c r="J371" s="63"/>
      <c r="K371" s="63"/>
      <c r="L371" s="63"/>
      <c r="M371" s="63"/>
    </row>
    <row r="372" spans="2:13" ht="9.75" x14ac:dyDescent="0.1">
      <c r="B372" s="91"/>
      <c r="C372" s="92" t="s">
        <v>4166</v>
      </c>
      <c r="D372" s="93">
        <f t="shared" ref="D372:E372" si="165">SUM(D373:D382)</f>
        <v>356899</v>
      </c>
      <c r="E372" s="93">
        <f t="shared" si="165"/>
        <v>7000000000</v>
      </c>
      <c r="F372" s="93">
        <f>SUM(F373:F382)</f>
        <v>4153243460.9079561</v>
      </c>
      <c r="G372" s="93">
        <f>SUM(G373:G382)</f>
        <v>11153243460.907955</v>
      </c>
      <c r="H372" s="93">
        <f t="shared" ref="H372:I372" si="166">SUM(H373:H382)</f>
        <v>10649243460.907955</v>
      </c>
      <c r="I372" s="93">
        <f t="shared" si="166"/>
        <v>504000000</v>
      </c>
      <c r="J372" s="63"/>
      <c r="K372" s="63"/>
      <c r="L372" s="63"/>
      <c r="M372" s="63"/>
    </row>
    <row r="373" spans="2:13" ht="9.75" x14ac:dyDescent="0.1">
      <c r="B373" s="94">
        <v>80601</v>
      </c>
      <c r="C373" s="95" t="s">
        <v>4167</v>
      </c>
      <c r="D373" s="96">
        <v>16766</v>
      </c>
      <c r="E373" s="97">
        <v>700000000</v>
      </c>
      <c r="F373" s="96">
        <f t="shared" ref="F373:F382" si="167">D373*$H$386</f>
        <v>195106402.27510527</v>
      </c>
      <c r="G373" s="98">
        <f t="shared" ref="G373:G382" si="168">F373+E373</f>
        <v>895106402.27510524</v>
      </c>
      <c r="H373" s="98">
        <f t="shared" si="156"/>
        <v>844706402.27510524</v>
      </c>
      <c r="I373" s="97">
        <v>50400000</v>
      </c>
      <c r="J373" s="63"/>
      <c r="K373" s="63"/>
      <c r="L373" s="63"/>
      <c r="M373" s="63"/>
    </row>
    <row r="374" spans="2:13" ht="9.75" x14ac:dyDescent="0.1">
      <c r="B374" s="94">
        <v>80602</v>
      </c>
      <c r="C374" s="95" t="s">
        <v>4168</v>
      </c>
      <c r="D374" s="96">
        <v>30107</v>
      </c>
      <c r="E374" s="97">
        <v>700000000</v>
      </c>
      <c r="F374" s="96">
        <f t="shared" si="167"/>
        <v>350355985.52407217</v>
      </c>
      <c r="G374" s="98">
        <f t="shared" si="168"/>
        <v>1050355985.5240722</v>
      </c>
      <c r="H374" s="98">
        <f t="shared" si="156"/>
        <v>999955985.52407217</v>
      </c>
      <c r="I374" s="97">
        <v>50400000</v>
      </c>
      <c r="J374" s="63"/>
      <c r="K374" s="63"/>
      <c r="L374" s="63"/>
      <c r="M374" s="63"/>
    </row>
    <row r="375" spans="2:13" ht="9.75" x14ac:dyDescent="0.1">
      <c r="B375" s="94">
        <v>80603</v>
      </c>
      <c r="C375" s="95" t="s">
        <v>4169</v>
      </c>
      <c r="D375" s="96">
        <v>81925</v>
      </c>
      <c r="E375" s="97">
        <v>700000000</v>
      </c>
      <c r="F375" s="96">
        <f t="shared" si="167"/>
        <v>953363474.07777643</v>
      </c>
      <c r="G375" s="98">
        <f t="shared" si="168"/>
        <v>1653363474.0777764</v>
      </c>
      <c r="H375" s="98">
        <f t="shared" si="156"/>
        <v>1602963474.0777764</v>
      </c>
      <c r="I375" s="97">
        <v>50400000</v>
      </c>
      <c r="J375" s="63"/>
      <c r="K375" s="63"/>
      <c r="L375" s="63"/>
      <c r="M375" s="63"/>
    </row>
    <row r="376" spans="2:13" ht="9.75" x14ac:dyDescent="0.1">
      <c r="B376" s="94">
        <v>80604</v>
      </c>
      <c r="C376" s="95" t="s">
        <v>4170</v>
      </c>
      <c r="D376" s="96">
        <v>38594</v>
      </c>
      <c r="E376" s="97">
        <v>700000000</v>
      </c>
      <c r="F376" s="96">
        <f t="shared" si="167"/>
        <v>449119437.51672506</v>
      </c>
      <c r="G376" s="98">
        <f t="shared" si="168"/>
        <v>1149119437.5167251</v>
      </c>
      <c r="H376" s="98">
        <f t="shared" si="156"/>
        <v>1098719437.5167251</v>
      </c>
      <c r="I376" s="97">
        <v>50400000</v>
      </c>
      <c r="J376" s="63"/>
      <c r="K376" s="63"/>
      <c r="L376" s="63"/>
      <c r="M376" s="63"/>
    </row>
    <row r="377" spans="2:13" ht="9.75" x14ac:dyDescent="0.1">
      <c r="B377" s="94">
        <v>80605</v>
      </c>
      <c r="C377" s="95" t="s">
        <v>4171</v>
      </c>
      <c r="D377" s="96">
        <v>24426</v>
      </c>
      <c r="E377" s="97">
        <v>700000000</v>
      </c>
      <c r="F377" s="96">
        <f t="shared" si="167"/>
        <v>284246032.56422049</v>
      </c>
      <c r="G377" s="98">
        <f t="shared" si="168"/>
        <v>984246032.56422043</v>
      </c>
      <c r="H377" s="98">
        <f t="shared" si="156"/>
        <v>933846032.56422043</v>
      </c>
      <c r="I377" s="97">
        <v>50400000</v>
      </c>
      <c r="J377" s="63"/>
      <c r="K377" s="63"/>
      <c r="L377" s="63"/>
      <c r="M377" s="63"/>
    </row>
    <row r="378" spans="2:13" ht="9.75" x14ac:dyDescent="0.1">
      <c r="B378" s="94">
        <v>80606</v>
      </c>
      <c r="C378" s="95" t="s">
        <v>4172</v>
      </c>
      <c r="D378" s="96">
        <v>34751</v>
      </c>
      <c r="E378" s="97">
        <v>700000000</v>
      </c>
      <c r="F378" s="96">
        <f t="shared" si="167"/>
        <v>404398341.01527989</v>
      </c>
      <c r="G378" s="98">
        <f t="shared" si="168"/>
        <v>1104398341.0152798</v>
      </c>
      <c r="H378" s="98">
        <f t="shared" si="156"/>
        <v>1053998341.0152798</v>
      </c>
      <c r="I378" s="97">
        <v>50400000</v>
      </c>
      <c r="J378" s="63"/>
      <c r="K378" s="63"/>
      <c r="L378" s="63"/>
      <c r="M378" s="63"/>
    </row>
    <row r="379" spans="2:13" ht="9.75" x14ac:dyDescent="0.1">
      <c r="B379" s="94">
        <v>80607</v>
      </c>
      <c r="C379" s="95" t="s">
        <v>4173</v>
      </c>
      <c r="D379" s="96">
        <v>18383</v>
      </c>
      <c r="E379" s="97">
        <v>700000000</v>
      </c>
      <c r="F379" s="96">
        <f t="shared" si="167"/>
        <v>213923475.66642371</v>
      </c>
      <c r="G379" s="98">
        <f t="shared" si="168"/>
        <v>913923475.66642368</v>
      </c>
      <c r="H379" s="98">
        <f t="shared" si="156"/>
        <v>863523475.66642368</v>
      </c>
      <c r="I379" s="97">
        <v>50400000</v>
      </c>
      <c r="J379" s="63"/>
      <c r="K379" s="63"/>
      <c r="L379" s="63"/>
      <c r="M379" s="63"/>
    </row>
    <row r="380" spans="2:13" ht="9.75" x14ac:dyDescent="0.1">
      <c r="B380" s="94">
        <v>80608</v>
      </c>
      <c r="C380" s="95" t="s">
        <v>4174</v>
      </c>
      <c r="D380" s="96">
        <v>37720</v>
      </c>
      <c r="E380" s="97">
        <v>700000000</v>
      </c>
      <c r="F380" s="96">
        <f t="shared" si="167"/>
        <v>438948675.52290171</v>
      </c>
      <c r="G380" s="98">
        <f t="shared" si="168"/>
        <v>1138948675.5229018</v>
      </c>
      <c r="H380" s="98">
        <f t="shared" si="156"/>
        <v>1088548675.5229018</v>
      </c>
      <c r="I380" s="97">
        <v>50400000</v>
      </c>
      <c r="J380" s="63"/>
      <c r="K380" s="63"/>
      <c r="L380" s="63"/>
      <c r="M380" s="63"/>
    </row>
    <row r="381" spans="2:13" ht="9.75" x14ac:dyDescent="0.1">
      <c r="B381" s="94">
        <v>80609</v>
      </c>
      <c r="C381" s="95" t="s">
        <v>4175</v>
      </c>
      <c r="D381" s="96">
        <v>37753</v>
      </c>
      <c r="E381" s="97">
        <v>700000000</v>
      </c>
      <c r="F381" s="96">
        <f t="shared" si="167"/>
        <v>439332697.42884701</v>
      </c>
      <c r="G381" s="98">
        <f t="shared" si="168"/>
        <v>1139332697.4288471</v>
      </c>
      <c r="H381" s="98">
        <f t="shared" si="156"/>
        <v>1088932697.4288471</v>
      </c>
      <c r="I381" s="97">
        <v>50400000</v>
      </c>
      <c r="J381" s="63"/>
      <c r="K381" s="63"/>
      <c r="L381" s="63"/>
      <c r="M381" s="63"/>
    </row>
    <row r="382" spans="2:13" ht="9.75" x14ac:dyDescent="0.1">
      <c r="B382" s="94">
        <v>80610</v>
      </c>
      <c r="C382" s="95" t="s">
        <v>4176</v>
      </c>
      <c r="D382" s="96">
        <v>36474</v>
      </c>
      <c r="E382" s="97">
        <v>700000000</v>
      </c>
      <c r="F382" s="96">
        <f t="shared" si="167"/>
        <v>424448939.31660438</v>
      </c>
      <c r="G382" s="98">
        <f t="shared" si="168"/>
        <v>1124448939.3166044</v>
      </c>
      <c r="H382" s="98">
        <f t="shared" si="156"/>
        <v>1074048939.3166044</v>
      </c>
      <c r="I382" s="97">
        <v>50400000</v>
      </c>
      <c r="J382" s="63"/>
      <c r="K382" s="63"/>
      <c r="L382" s="63"/>
      <c r="M382" s="63"/>
    </row>
    <row r="384" spans="2:13" ht="9.75" x14ac:dyDescent="0.1">
      <c r="B384" s="444" t="s">
        <v>3382</v>
      </c>
      <c r="C384" s="446" t="s">
        <v>4177</v>
      </c>
      <c r="D384" s="448" t="s">
        <v>4178</v>
      </c>
      <c r="E384" s="450" t="s">
        <v>4179</v>
      </c>
      <c r="F384" s="451"/>
      <c r="G384" s="444" t="s">
        <v>4180</v>
      </c>
      <c r="H384" s="452" t="s">
        <v>4181</v>
      </c>
      <c r="I384" s="453"/>
      <c r="J384" s="63"/>
      <c r="K384" s="63"/>
      <c r="L384" s="63"/>
      <c r="M384" s="63"/>
    </row>
    <row r="385" spans="2:13" ht="18" customHeight="1" x14ac:dyDescent="0.1">
      <c r="B385" s="445"/>
      <c r="C385" s="447"/>
      <c r="D385" s="449"/>
      <c r="E385" s="102" t="s">
        <v>3805</v>
      </c>
      <c r="F385" s="103" t="s">
        <v>4182</v>
      </c>
      <c r="G385" s="445"/>
      <c r="H385" s="454"/>
      <c r="I385" s="455"/>
      <c r="J385" s="63"/>
      <c r="K385" s="63"/>
      <c r="L385" s="63"/>
      <c r="M385" s="63"/>
    </row>
    <row r="386" spans="2:13" ht="9.75" x14ac:dyDescent="0.1">
      <c r="B386" s="94">
        <v>2021</v>
      </c>
      <c r="C386" s="98">
        <f>D390</f>
        <v>402630454500</v>
      </c>
      <c r="D386" s="104">
        <f>D389</f>
        <v>40263045450</v>
      </c>
      <c r="E386" s="98">
        <f>E5</f>
        <v>235900000000</v>
      </c>
      <c r="F386" s="104">
        <f>C386-D386-E386</f>
        <v>126467409050</v>
      </c>
      <c r="G386" s="104">
        <f>D5</f>
        <v>10867673</v>
      </c>
      <c r="H386" s="440">
        <f>F386/G386</f>
        <v>11637.027452887109</v>
      </c>
      <c r="I386" s="441"/>
      <c r="J386" s="63"/>
      <c r="K386" s="63"/>
      <c r="L386" s="63"/>
      <c r="M386" s="63"/>
    </row>
    <row r="388" spans="2:13" ht="9.75" x14ac:dyDescent="0.1">
      <c r="B388" s="442" t="s">
        <v>4183</v>
      </c>
      <c r="C388" s="442"/>
      <c r="D388" s="98">
        <f>D390*0.9</f>
        <v>362367409050</v>
      </c>
      <c r="E388" s="105"/>
      <c r="F388" s="105"/>
      <c r="G388" s="105"/>
      <c r="J388" s="63"/>
      <c r="K388" s="63"/>
      <c r="L388" s="63"/>
      <c r="M388" s="63"/>
    </row>
    <row r="389" spans="2:13" ht="9.75" x14ac:dyDescent="0.1">
      <c r="B389" s="442" t="s">
        <v>4184</v>
      </c>
      <c r="C389" s="442"/>
      <c r="D389" s="98">
        <f>D390*0.1</f>
        <v>40263045450</v>
      </c>
      <c r="E389" s="105"/>
      <c r="F389" s="105"/>
      <c r="J389" s="63"/>
      <c r="K389" s="63"/>
      <c r="L389" s="63"/>
      <c r="M389" s="63"/>
    </row>
    <row r="390" spans="2:13" ht="9.75" x14ac:dyDescent="0.1">
      <c r="B390" s="443" t="s">
        <v>4185</v>
      </c>
      <c r="C390" s="443"/>
      <c r="D390" s="106">
        <v>402630454500</v>
      </c>
      <c r="E390" s="105"/>
      <c r="F390" s="105"/>
      <c r="G390" s="105"/>
      <c r="J390" s="63"/>
      <c r="K390" s="63"/>
      <c r="L390" s="63"/>
      <c r="M390" s="63"/>
    </row>
    <row r="391" spans="2:13" ht="9.75" x14ac:dyDescent="0.1">
      <c r="C391" s="105"/>
      <c r="D391" s="105"/>
      <c r="E391" s="105"/>
      <c r="F391" s="105"/>
      <c r="J391" s="63"/>
      <c r="K391" s="63"/>
      <c r="L391" s="63"/>
      <c r="M391" s="63"/>
    </row>
    <row r="392" spans="2:13" ht="15" customHeight="1" x14ac:dyDescent="0.1">
      <c r="B392" s="108"/>
      <c r="C392" s="108"/>
      <c r="D392" s="108"/>
      <c r="E392" s="108"/>
      <c r="F392" s="108"/>
      <c r="G392" s="108"/>
      <c r="H392" s="108"/>
      <c r="I392" s="108"/>
      <c r="J392" s="63"/>
      <c r="K392" s="63"/>
      <c r="L392" s="63"/>
      <c r="M392" s="63"/>
    </row>
    <row r="393" spans="2:13" ht="13.9" customHeight="1" x14ac:dyDescent="0.15">
      <c r="B393" s="63"/>
      <c r="D393" s="364"/>
    </row>
    <row r="394" spans="2:13" ht="9.75" x14ac:dyDescent="0.1">
      <c r="D394" s="110"/>
      <c r="J394" s="63"/>
      <c r="K394" s="63"/>
      <c r="L394" s="63"/>
      <c r="M394" s="63"/>
    </row>
    <row r="395" spans="2:13" ht="9.75" x14ac:dyDescent="0.1">
      <c r="D395" s="109"/>
      <c r="J395" s="63"/>
      <c r="K395" s="63"/>
      <c r="L395" s="63"/>
      <c r="M395" s="63"/>
    </row>
    <row r="396" spans="2:13" ht="9.75" x14ac:dyDescent="0.1">
      <c r="J396" s="63"/>
      <c r="K396" s="63"/>
      <c r="L396" s="63"/>
      <c r="M396" s="63"/>
    </row>
    <row r="397" spans="2:13" ht="9.75" x14ac:dyDescent="0.1">
      <c r="E397" s="110"/>
      <c r="J397" s="63"/>
      <c r="K397" s="63"/>
      <c r="L397" s="63"/>
      <c r="M397" s="63"/>
    </row>
    <row r="398" spans="2:13" ht="9.75" x14ac:dyDescent="0.1">
      <c r="J398" s="63"/>
      <c r="K398" s="63"/>
      <c r="L398" s="63"/>
      <c r="M398" s="63"/>
    </row>
    <row r="399" spans="2:13" ht="9.75" x14ac:dyDescent="0.1">
      <c r="J399" s="63"/>
      <c r="K399" s="63"/>
      <c r="L399" s="63"/>
      <c r="M399" s="63"/>
    </row>
    <row r="400" spans="2:13" ht="9.75" x14ac:dyDescent="0.1">
      <c r="J400" s="63"/>
      <c r="K400" s="63"/>
      <c r="L400" s="63"/>
      <c r="M400" s="63"/>
    </row>
  </sheetData>
  <mergeCells count="15">
    <mergeCell ref="H386:I386"/>
    <mergeCell ref="B388:C388"/>
    <mergeCell ref="B389:C389"/>
    <mergeCell ref="B390:C390"/>
    <mergeCell ref="B384:B385"/>
    <mergeCell ref="C384:C385"/>
    <mergeCell ref="D384:D385"/>
    <mergeCell ref="E384:F384"/>
    <mergeCell ref="G384:G385"/>
    <mergeCell ref="H384:I385"/>
    <mergeCell ref="B3:B4"/>
    <mergeCell ref="C3:C4"/>
    <mergeCell ref="D3:D4"/>
    <mergeCell ref="E3:G3"/>
    <mergeCell ref="H3:I3"/>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055FA-2988-4EFC-9BA0-FF179AA976FA}">
  <dimension ref="B1:M106"/>
  <sheetViews>
    <sheetView showGridLines="0" zoomScale="85" zoomScaleNormal="85" workbookViewId="0">
      <pane xSplit="3" ySplit="4" topLeftCell="D5" activePane="bottomRight" state="frozen"/>
      <selection pane="bottomLeft" activeCell="A5" sqref="A5"/>
      <selection pane="topRight" activeCell="D1" sqref="D1"/>
      <selection pane="bottomRight" activeCell="D4" sqref="D4"/>
    </sheetView>
  </sheetViews>
  <sheetFormatPr defaultColWidth="11.43359375" defaultRowHeight="13.5" x14ac:dyDescent="0.2"/>
  <cols>
    <col min="1" max="1" width="0.94140625" style="357" customWidth="1"/>
    <col min="2" max="2" width="20.58203125" style="357" customWidth="1"/>
    <col min="3" max="3" width="11.43359375" style="357"/>
    <col min="4" max="4" width="22.8671875" style="357" customWidth="1"/>
    <col min="5" max="5" width="40.35546875" style="357" customWidth="1"/>
    <col min="6" max="7" width="11.43359375" style="357"/>
    <col min="8" max="8" width="13.71875" style="357" customWidth="1"/>
    <col min="9" max="9" width="15.06640625" style="349" bestFit="1" customWidth="1"/>
    <col min="10" max="10" width="8.47265625" style="357" bestFit="1" customWidth="1"/>
    <col min="11" max="11" width="15.6015625" style="357" customWidth="1"/>
    <col min="12" max="12" width="21.38671875" style="357" customWidth="1"/>
    <col min="13" max="13" width="19.37109375" style="357" customWidth="1"/>
    <col min="14" max="16384" width="11.43359375" style="357"/>
  </cols>
  <sheetData>
    <row r="1" spans="2:13" ht="12" x14ac:dyDescent="0.2">
      <c r="F1" s="355"/>
    </row>
    <row r="2" spans="2:13" ht="12" x14ac:dyDescent="0.2">
      <c r="B2" s="232" t="s">
        <v>4186</v>
      </c>
    </row>
    <row r="3" spans="2:13" ht="12" x14ac:dyDescent="0.2">
      <c r="B3" s="358"/>
    </row>
    <row r="4" spans="2:13" s="356" customFormat="1" ht="12" x14ac:dyDescent="0.15">
      <c r="B4" s="354" t="s">
        <v>4187</v>
      </c>
      <c r="C4" s="354" t="s">
        <v>4188</v>
      </c>
      <c r="D4" s="354" t="s">
        <v>4189</v>
      </c>
      <c r="E4" s="354" t="s">
        <v>4190</v>
      </c>
      <c r="F4" s="354" t="s">
        <v>4191</v>
      </c>
      <c r="G4" s="354" t="s">
        <v>4192</v>
      </c>
      <c r="H4" s="354" t="s">
        <v>4193</v>
      </c>
      <c r="I4" s="353" t="s">
        <v>3007</v>
      </c>
      <c r="J4" s="354" t="s">
        <v>3382</v>
      </c>
      <c r="K4" s="354" t="s">
        <v>4194</v>
      </c>
      <c r="L4" s="354" t="s">
        <v>4195</v>
      </c>
      <c r="M4" s="354" t="s">
        <v>4196</v>
      </c>
    </row>
    <row r="5" spans="2:13" ht="53.25" x14ac:dyDescent="0.15">
      <c r="B5" s="359" t="s">
        <v>4197</v>
      </c>
      <c r="C5" s="360" t="s">
        <v>4198</v>
      </c>
      <c r="D5" s="360" t="s">
        <v>4199</v>
      </c>
      <c r="E5" s="359" t="s">
        <v>4200</v>
      </c>
      <c r="F5" s="361" t="s">
        <v>4201</v>
      </c>
      <c r="G5" s="360" t="s">
        <v>4202</v>
      </c>
      <c r="H5" s="360" t="s">
        <v>4203</v>
      </c>
      <c r="I5" s="362" t="s">
        <v>4204</v>
      </c>
      <c r="J5" s="360" t="s">
        <v>4205</v>
      </c>
      <c r="K5" s="360" t="s">
        <v>4206</v>
      </c>
      <c r="L5" s="360" t="s">
        <v>4207</v>
      </c>
      <c r="M5" s="360" t="s">
        <v>4208</v>
      </c>
    </row>
    <row r="6" spans="2:13" ht="53.25" x14ac:dyDescent="0.15">
      <c r="B6" s="359" t="s">
        <v>4209</v>
      </c>
      <c r="C6" s="360" t="s">
        <v>4210</v>
      </c>
      <c r="D6" s="360" t="s">
        <v>4211</v>
      </c>
      <c r="E6" s="359" t="s">
        <v>4212</v>
      </c>
      <c r="F6" s="361" t="s">
        <v>4201</v>
      </c>
      <c r="G6" s="360" t="s">
        <v>4202</v>
      </c>
      <c r="H6" s="360" t="s">
        <v>4213</v>
      </c>
      <c r="I6" s="362" t="s">
        <v>4214</v>
      </c>
      <c r="J6" s="360" t="s">
        <v>4205</v>
      </c>
      <c r="K6" s="360" t="s">
        <v>4206</v>
      </c>
      <c r="L6" s="360" t="s">
        <v>4207</v>
      </c>
      <c r="M6" s="360" t="s">
        <v>4208</v>
      </c>
    </row>
    <row r="7" spans="2:13" ht="53.25" x14ac:dyDescent="0.15">
      <c r="B7" s="359" t="s">
        <v>4215</v>
      </c>
      <c r="C7" s="360" t="s">
        <v>4210</v>
      </c>
      <c r="D7" s="360" t="s">
        <v>4216</v>
      </c>
      <c r="E7" s="359" t="s">
        <v>4217</v>
      </c>
      <c r="F7" s="361" t="s">
        <v>4201</v>
      </c>
      <c r="G7" s="360" t="s">
        <v>4202</v>
      </c>
      <c r="H7" s="360" t="s">
        <v>4213</v>
      </c>
      <c r="I7" s="362" t="s">
        <v>4218</v>
      </c>
      <c r="J7" s="360" t="s">
        <v>4205</v>
      </c>
      <c r="K7" s="360" t="s">
        <v>4206</v>
      </c>
      <c r="L7" s="360" t="s">
        <v>4207</v>
      </c>
      <c r="M7" s="360" t="s">
        <v>4208</v>
      </c>
    </row>
    <row r="8" spans="2:13" ht="53.25" x14ac:dyDescent="0.15">
      <c r="B8" s="359" t="s">
        <v>4219</v>
      </c>
      <c r="C8" s="360" t="s">
        <v>4198</v>
      </c>
      <c r="D8" s="360" t="s">
        <v>4220</v>
      </c>
      <c r="E8" s="359" t="s">
        <v>4221</v>
      </c>
      <c r="F8" s="361" t="s">
        <v>4201</v>
      </c>
      <c r="G8" s="360" t="s">
        <v>4222</v>
      </c>
      <c r="H8" s="360" t="s">
        <v>4223</v>
      </c>
      <c r="I8" s="362" t="s">
        <v>4224</v>
      </c>
      <c r="J8" s="360" t="s">
        <v>4225</v>
      </c>
      <c r="K8" s="360" t="s">
        <v>4206</v>
      </c>
      <c r="L8" s="360" t="s">
        <v>4226</v>
      </c>
      <c r="M8" s="360" t="s">
        <v>4227</v>
      </c>
    </row>
    <row r="9" spans="2:13" ht="63.75" x14ac:dyDescent="0.15">
      <c r="B9" s="359" t="s">
        <v>4228</v>
      </c>
      <c r="C9" s="360" t="s">
        <v>4198</v>
      </c>
      <c r="D9" s="360" t="s">
        <v>4229</v>
      </c>
      <c r="E9" s="359" t="s">
        <v>4230</v>
      </c>
      <c r="F9" s="361" t="s">
        <v>4201</v>
      </c>
      <c r="G9" s="360" t="s">
        <v>4231</v>
      </c>
      <c r="H9" s="360" t="s">
        <v>4213</v>
      </c>
      <c r="I9" s="362" t="s">
        <v>4232</v>
      </c>
      <c r="J9" s="360" t="s">
        <v>4233</v>
      </c>
      <c r="K9" s="360" t="s">
        <v>4206</v>
      </c>
      <c r="L9" s="360" t="s">
        <v>4234</v>
      </c>
      <c r="M9" s="360" t="s">
        <v>4235</v>
      </c>
    </row>
    <row r="10" spans="2:13" ht="53.25" x14ac:dyDescent="0.15">
      <c r="B10" s="359" t="s">
        <v>4236</v>
      </c>
      <c r="C10" s="360" t="s">
        <v>4198</v>
      </c>
      <c r="D10" s="360" t="s">
        <v>4237</v>
      </c>
      <c r="E10" s="359" t="s">
        <v>4238</v>
      </c>
      <c r="F10" s="361" t="s">
        <v>4201</v>
      </c>
      <c r="G10" s="360" t="s">
        <v>1568</v>
      </c>
      <c r="H10" s="360" t="s">
        <v>4223</v>
      </c>
      <c r="I10" s="362" t="s">
        <v>4232</v>
      </c>
      <c r="J10" s="360" t="s">
        <v>4233</v>
      </c>
      <c r="K10" s="360" t="s">
        <v>4206</v>
      </c>
      <c r="L10" s="360" t="s">
        <v>4234</v>
      </c>
      <c r="M10" s="360" t="s">
        <v>4239</v>
      </c>
    </row>
    <row r="11" spans="2:13" ht="63.75" x14ac:dyDescent="0.15">
      <c r="B11" s="359" t="s">
        <v>4240</v>
      </c>
      <c r="C11" s="360" t="s">
        <v>4210</v>
      </c>
      <c r="D11" s="360" t="s">
        <v>4241</v>
      </c>
      <c r="E11" s="359" t="s">
        <v>4242</v>
      </c>
      <c r="F11" s="361" t="s">
        <v>4201</v>
      </c>
      <c r="G11" s="360" t="s">
        <v>1568</v>
      </c>
      <c r="H11" s="360" t="s">
        <v>4213</v>
      </c>
      <c r="I11" s="362" t="s">
        <v>4232</v>
      </c>
      <c r="J11" s="360" t="s">
        <v>4233</v>
      </c>
      <c r="K11" s="360" t="s">
        <v>4206</v>
      </c>
      <c r="L11" s="360" t="s">
        <v>4234</v>
      </c>
      <c r="M11" s="360" t="s">
        <v>4243</v>
      </c>
    </row>
    <row r="12" spans="2:13" ht="53.25" x14ac:dyDescent="0.15">
      <c r="B12" s="359" t="s">
        <v>4244</v>
      </c>
      <c r="C12" s="360" t="s">
        <v>4198</v>
      </c>
      <c r="D12" s="360" t="s">
        <v>4245</v>
      </c>
      <c r="E12" s="359" t="s">
        <v>4246</v>
      </c>
      <c r="F12" s="361" t="s">
        <v>4201</v>
      </c>
      <c r="G12" s="360" t="s">
        <v>1568</v>
      </c>
      <c r="H12" s="360" t="s">
        <v>4203</v>
      </c>
      <c r="I12" s="362" t="s">
        <v>4247</v>
      </c>
      <c r="J12" s="360" t="s">
        <v>4233</v>
      </c>
      <c r="K12" s="360" t="s">
        <v>4206</v>
      </c>
      <c r="L12" s="360" t="s">
        <v>4234</v>
      </c>
      <c r="M12" s="360" t="s">
        <v>4248</v>
      </c>
    </row>
    <row r="13" spans="2:13" ht="53.25" x14ac:dyDescent="0.15">
      <c r="B13" s="359" t="s">
        <v>4249</v>
      </c>
      <c r="C13" s="360" t="s">
        <v>4198</v>
      </c>
      <c r="D13" s="360" t="s">
        <v>4250</v>
      </c>
      <c r="E13" s="359" t="s">
        <v>4251</v>
      </c>
      <c r="F13" s="361" t="s">
        <v>4201</v>
      </c>
      <c r="G13" s="360" t="s">
        <v>1568</v>
      </c>
      <c r="H13" s="360" t="s">
        <v>4223</v>
      </c>
      <c r="I13" s="362" t="s">
        <v>4252</v>
      </c>
      <c r="J13" s="360" t="s">
        <v>4233</v>
      </c>
      <c r="K13" s="360" t="s">
        <v>4206</v>
      </c>
      <c r="L13" s="360" t="s">
        <v>4253</v>
      </c>
      <c r="M13" s="360" t="s">
        <v>4254</v>
      </c>
    </row>
    <row r="14" spans="2:13" ht="53.25" x14ac:dyDescent="0.15">
      <c r="B14" s="359" t="s">
        <v>4255</v>
      </c>
      <c r="C14" s="360" t="s">
        <v>4210</v>
      </c>
      <c r="D14" s="360" t="s">
        <v>4256</v>
      </c>
      <c r="E14" s="359" t="s">
        <v>4257</v>
      </c>
      <c r="F14" s="361" t="s">
        <v>4201</v>
      </c>
      <c r="G14" s="360" t="s">
        <v>1568</v>
      </c>
      <c r="H14" s="360" t="s">
        <v>4258</v>
      </c>
      <c r="I14" s="362" t="s">
        <v>4252</v>
      </c>
      <c r="J14" s="360" t="s">
        <v>4233</v>
      </c>
      <c r="K14" s="360" t="s">
        <v>4206</v>
      </c>
      <c r="L14" s="360" t="s">
        <v>4253</v>
      </c>
      <c r="M14" s="360" t="s">
        <v>4254</v>
      </c>
    </row>
    <row r="15" spans="2:13" ht="53.25" x14ac:dyDescent="0.15">
      <c r="B15" s="359" t="s">
        <v>4259</v>
      </c>
      <c r="C15" s="360" t="s">
        <v>4198</v>
      </c>
      <c r="D15" s="360" t="s">
        <v>4260</v>
      </c>
      <c r="E15" s="359" t="s">
        <v>4261</v>
      </c>
      <c r="F15" s="361" t="s">
        <v>4201</v>
      </c>
      <c r="G15" s="360" t="s">
        <v>4262</v>
      </c>
      <c r="H15" s="360" t="s">
        <v>4223</v>
      </c>
      <c r="I15" s="362" t="s">
        <v>4263</v>
      </c>
      <c r="J15" s="360" t="s">
        <v>4233</v>
      </c>
      <c r="K15" s="360" t="s">
        <v>4206</v>
      </c>
      <c r="L15" s="360" t="s">
        <v>4264</v>
      </c>
      <c r="M15" s="360" t="s">
        <v>4265</v>
      </c>
    </row>
    <row r="16" spans="2:13" ht="53.25" x14ac:dyDescent="0.15">
      <c r="B16" s="359" t="s">
        <v>4266</v>
      </c>
      <c r="C16" s="360" t="s">
        <v>4198</v>
      </c>
      <c r="D16" s="360" t="s">
        <v>4267</v>
      </c>
      <c r="E16" s="359" t="s">
        <v>4268</v>
      </c>
      <c r="F16" s="361" t="s">
        <v>4201</v>
      </c>
      <c r="G16" s="360" t="s">
        <v>1568</v>
      </c>
      <c r="H16" s="360" t="s">
        <v>4223</v>
      </c>
      <c r="I16" s="362" t="s">
        <v>4269</v>
      </c>
      <c r="J16" s="360" t="s">
        <v>4233</v>
      </c>
      <c r="K16" s="360" t="s">
        <v>4206</v>
      </c>
      <c r="L16" s="360" t="s">
        <v>4234</v>
      </c>
      <c r="M16" s="360" t="s">
        <v>4270</v>
      </c>
    </row>
    <row r="17" spans="2:13" ht="53.25" x14ac:dyDescent="0.15">
      <c r="B17" s="359" t="s">
        <v>4271</v>
      </c>
      <c r="C17" s="360" t="s">
        <v>4198</v>
      </c>
      <c r="D17" s="360" t="s">
        <v>4272</v>
      </c>
      <c r="E17" s="359" t="s">
        <v>4273</v>
      </c>
      <c r="F17" s="361" t="s">
        <v>4201</v>
      </c>
      <c r="G17" s="360" t="s">
        <v>4274</v>
      </c>
      <c r="H17" s="360" t="s">
        <v>4223</v>
      </c>
      <c r="I17" s="362" t="s">
        <v>4275</v>
      </c>
      <c r="J17" s="360" t="s">
        <v>4276</v>
      </c>
      <c r="K17" s="360" t="s">
        <v>4206</v>
      </c>
      <c r="L17" s="360" t="s">
        <v>4277</v>
      </c>
      <c r="M17" s="360" t="s">
        <v>4278</v>
      </c>
    </row>
    <row r="18" spans="2:13" ht="53.25" x14ac:dyDescent="0.15">
      <c r="B18" s="359" t="s">
        <v>4279</v>
      </c>
      <c r="C18" s="360" t="s">
        <v>4198</v>
      </c>
      <c r="D18" s="360" t="s">
        <v>4280</v>
      </c>
      <c r="E18" s="359" t="s">
        <v>4281</v>
      </c>
      <c r="F18" s="361" t="s">
        <v>4201</v>
      </c>
      <c r="G18" s="360" t="s">
        <v>4282</v>
      </c>
      <c r="H18" s="360" t="s">
        <v>4223</v>
      </c>
      <c r="I18" s="362" t="s">
        <v>4283</v>
      </c>
      <c r="J18" s="360" t="s">
        <v>4284</v>
      </c>
      <c r="K18" s="360" t="s">
        <v>4206</v>
      </c>
      <c r="L18" s="360" t="s">
        <v>4285</v>
      </c>
      <c r="M18" s="360" t="s">
        <v>4286</v>
      </c>
    </row>
    <row r="19" spans="2:13" ht="53.25" x14ac:dyDescent="0.15">
      <c r="B19" s="359" t="s">
        <v>4287</v>
      </c>
      <c r="C19" s="360" t="s">
        <v>4210</v>
      </c>
      <c r="D19" s="360" t="s">
        <v>4288</v>
      </c>
      <c r="E19" s="359" t="s">
        <v>4289</v>
      </c>
      <c r="F19" s="361" t="s">
        <v>4201</v>
      </c>
      <c r="G19" s="360" t="s">
        <v>4282</v>
      </c>
      <c r="H19" s="360" t="s">
        <v>4258</v>
      </c>
      <c r="I19" s="362" t="s">
        <v>4283</v>
      </c>
      <c r="J19" s="360" t="s">
        <v>4284</v>
      </c>
      <c r="K19" s="360" t="s">
        <v>4206</v>
      </c>
      <c r="L19" s="360" t="s">
        <v>4285</v>
      </c>
      <c r="M19" s="360" t="s">
        <v>4286</v>
      </c>
    </row>
    <row r="20" spans="2:13" ht="53.25" x14ac:dyDescent="0.15">
      <c r="B20" s="359" t="s">
        <v>4290</v>
      </c>
      <c r="C20" s="360" t="s">
        <v>4198</v>
      </c>
      <c r="D20" s="360" t="s">
        <v>4291</v>
      </c>
      <c r="E20" s="359" t="s">
        <v>4292</v>
      </c>
      <c r="F20" s="361" t="s">
        <v>4201</v>
      </c>
      <c r="G20" s="360" t="s">
        <v>1568</v>
      </c>
      <c r="H20" s="360" t="s">
        <v>4223</v>
      </c>
      <c r="I20" s="362" t="s">
        <v>4293</v>
      </c>
      <c r="J20" s="360" t="s">
        <v>4284</v>
      </c>
      <c r="K20" s="360" t="s">
        <v>4206</v>
      </c>
      <c r="L20" s="360" t="s">
        <v>4285</v>
      </c>
      <c r="M20" s="360" t="s">
        <v>4294</v>
      </c>
    </row>
    <row r="21" spans="2:13" ht="53.25" x14ac:dyDescent="0.15">
      <c r="B21" s="359" t="s">
        <v>4295</v>
      </c>
      <c r="C21" s="360" t="s">
        <v>4210</v>
      </c>
      <c r="D21" s="360" t="s">
        <v>4296</v>
      </c>
      <c r="E21" s="359" t="s">
        <v>4297</v>
      </c>
      <c r="F21" s="361" t="s">
        <v>4201</v>
      </c>
      <c r="G21" s="360" t="s">
        <v>1568</v>
      </c>
      <c r="H21" s="360"/>
      <c r="I21" s="362" t="s">
        <v>4293</v>
      </c>
      <c r="J21" s="360" t="s">
        <v>4284</v>
      </c>
      <c r="K21" s="360" t="s">
        <v>4298</v>
      </c>
      <c r="L21" s="360" t="s">
        <v>4285</v>
      </c>
      <c r="M21" s="360" t="s">
        <v>4294</v>
      </c>
    </row>
    <row r="22" spans="2:13" ht="53.25" x14ac:dyDescent="0.15">
      <c r="B22" s="359" t="s">
        <v>4299</v>
      </c>
      <c r="C22" s="360" t="s">
        <v>4210</v>
      </c>
      <c r="D22" s="360" t="s">
        <v>4300</v>
      </c>
      <c r="E22" s="359" t="s">
        <v>4301</v>
      </c>
      <c r="F22" s="361" t="s">
        <v>4201</v>
      </c>
      <c r="G22" s="360" t="s">
        <v>1568</v>
      </c>
      <c r="H22" s="360" t="s">
        <v>4302</v>
      </c>
      <c r="I22" s="362" t="s">
        <v>4293</v>
      </c>
      <c r="J22" s="360" t="s">
        <v>4284</v>
      </c>
      <c r="K22" s="360" t="s">
        <v>4206</v>
      </c>
      <c r="L22" s="360" t="s">
        <v>4234</v>
      </c>
      <c r="M22" s="360" t="s">
        <v>4303</v>
      </c>
    </row>
    <row r="23" spans="2:13" ht="63.75" x14ac:dyDescent="0.15">
      <c r="B23" s="359" t="s">
        <v>4304</v>
      </c>
      <c r="C23" s="360" t="s">
        <v>4198</v>
      </c>
      <c r="D23" s="360" t="s">
        <v>4305</v>
      </c>
      <c r="E23" s="359" t="s">
        <v>4306</v>
      </c>
      <c r="F23" s="361" t="s">
        <v>4201</v>
      </c>
      <c r="G23" s="360" t="s">
        <v>1568</v>
      </c>
      <c r="H23" s="360" t="s">
        <v>4223</v>
      </c>
      <c r="I23" s="362" t="s">
        <v>4307</v>
      </c>
      <c r="J23" s="360" t="s">
        <v>4308</v>
      </c>
      <c r="K23" s="360" t="s">
        <v>4206</v>
      </c>
      <c r="L23" s="360" t="s">
        <v>4226</v>
      </c>
      <c r="M23" s="360" t="s">
        <v>4309</v>
      </c>
    </row>
    <row r="24" spans="2:13" ht="53.25" x14ac:dyDescent="0.15">
      <c r="B24" s="359" t="s">
        <v>4310</v>
      </c>
      <c r="C24" s="360" t="s">
        <v>4198</v>
      </c>
      <c r="D24" s="360" t="s">
        <v>4311</v>
      </c>
      <c r="E24" s="359" t="s">
        <v>4312</v>
      </c>
      <c r="F24" s="361" t="s">
        <v>4201</v>
      </c>
      <c r="G24" s="360" t="s">
        <v>4262</v>
      </c>
      <c r="H24" s="360" t="s">
        <v>4313</v>
      </c>
      <c r="I24" s="362" t="s">
        <v>4314</v>
      </c>
      <c r="J24" s="360" t="s">
        <v>4315</v>
      </c>
      <c r="K24" s="360" t="s">
        <v>4206</v>
      </c>
      <c r="L24" s="360" t="s">
        <v>4316</v>
      </c>
      <c r="M24" s="360" t="s">
        <v>4317</v>
      </c>
    </row>
    <row r="25" spans="2:13" ht="53.25" x14ac:dyDescent="0.15">
      <c r="B25" s="359" t="s">
        <v>4318</v>
      </c>
      <c r="C25" s="360" t="s">
        <v>4198</v>
      </c>
      <c r="D25" s="360" t="s">
        <v>4319</v>
      </c>
      <c r="E25" s="359" t="s">
        <v>4320</v>
      </c>
      <c r="F25" s="361" t="s">
        <v>4201</v>
      </c>
      <c r="G25" s="360" t="s">
        <v>4262</v>
      </c>
      <c r="H25" s="360" t="s">
        <v>4223</v>
      </c>
      <c r="I25" s="362" t="s">
        <v>4321</v>
      </c>
      <c r="J25" s="360" t="s">
        <v>4315</v>
      </c>
      <c r="K25" s="360" t="s">
        <v>4206</v>
      </c>
      <c r="L25" s="360" t="s">
        <v>4322</v>
      </c>
      <c r="M25" s="360" t="s">
        <v>4323</v>
      </c>
    </row>
    <row r="26" spans="2:13" ht="53.25" x14ac:dyDescent="0.15">
      <c r="B26" s="359" t="s">
        <v>4324</v>
      </c>
      <c r="C26" s="360" t="s">
        <v>4198</v>
      </c>
      <c r="D26" s="360" t="s">
        <v>4325</v>
      </c>
      <c r="E26" s="359" t="s">
        <v>4326</v>
      </c>
      <c r="F26" s="361" t="s">
        <v>4201</v>
      </c>
      <c r="G26" s="360" t="s">
        <v>4202</v>
      </c>
      <c r="H26" s="360" t="s">
        <v>4223</v>
      </c>
      <c r="I26" s="362" t="s">
        <v>4327</v>
      </c>
      <c r="J26" s="360" t="s">
        <v>4328</v>
      </c>
      <c r="K26" s="360" t="s">
        <v>4206</v>
      </c>
      <c r="L26" s="360" t="s">
        <v>4329</v>
      </c>
      <c r="M26" s="360" t="s">
        <v>4330</v>
      </c>
    </row>
    <row r="27" spans="2:13" ht="53.25" x14ac:dyDescent="0.15">
      <c r="B27" s="359" t="s">
        <v>4331</v>
      </c>
      <c r="C27" s="360" t="s">
        <v>4198</v>
      </c>
      <c r="D27" s="360" t="s">
        <v>4332</v>
      </c>
      <c r="E27" s="359" t="s">
        <v>4333</v>
      </c>
      <c r="F27" s="361" t="s">
        <v>4334</v>
      </c>
      <c r="G27" s="360" t="s">
        <v>1568</v>
      </c>
      <c r="H27" s="360" t="s">
        <v>4223</v>
      </c>
      <c r="I27" s="362" t="s">
        <v>4335</v>
      </c>
      <c r="J27" s="360" t="s">
        <v>4336</v>
      </c>
      <c r="K27" s="360" t="s">
        <v>4206</v>
      </c>
      <c r="L27" s="360" t="s">
        <v>4337</v>
      </c>
      <c r="M27" s="360" t="s">
        <v>4338</v>
      </c>
    </row>
    <row r="28" spans="2:13" ht="53.25" x14ac:dyDescent="0.15">
      <c r="B28" s="359" t="s">
        <v>4339</v>
      </c>
      <c r="C28" s="360" t="s">
        <v>4210</v>
      </c>
      <c r="D28" s="360" t="s">
        <v>4340</v>
      </c>
      <c r="E28" s="359" t="s">
        <v>4341</v>
      </c>
      <c r="F28" s="361" t="s">
        <v>4201</v>
      </c>
      <c r="G28" s="360" t="s">
        <v>1568</v>
      </c>
      <c r="H28" s="360" t="s">
        <v>4342</v>
      </c>
      <c r="I28" s="362" t="s">
        <v>4343</v>
      </c>
      <c r="J28" s="360" t="s">
        <v>4344</v>
      </c>
      <c r="K28" s="360" t="s">
        <v>4206</v>
      </c>
      <c r="L28" s="360" t="s">
        <v>4345</v>
      </c>
      <c r="M28" s="360" t="s">
        <v>4338</v>
      </c>
    </row>
    <row r="29" spans="2:13" ht="53.25" x14ac:dyDescent="0.15">
      <c r="B29" s="359" t="s">
        <v>4346</v>
      </c>
      <c r="C29" s="360" t="s">
        <v>4210</v>
      </c>
      <c r="D29" s="360" t="s">
        <v>4340</v>
      </c>
      <c r="E29" s="359" t="s">
        <v>4347</v>
      </c>
      <c r="F29" s="361" t="s">
        <v>4201</v>
      </c>
      <c r="G29" s="360" t="s">
        <v>1568</v>
      </c>
      <c r="H29" s="360" t="s">
        <v>4342</v>
      </c>
      <c r="I29" s="362" t="s">
        <v>4343</v>
      </c>
      <c r="J29" s="360" t="s">
        <v>4344</v>
      </c>
      <c r="K29" s="360" t="s">
        <v>4206</v>
      </c>
      <c r="L29" s="360" t="s">
        <v>4348</v>
      </c>
      <c r="M29" s="360" t="s">
        <v>4338</v>
      </c>
    </row>
    <row r="30" spans="2:13" ht="53.25" x14ac:dyDescent="0.15">
      <c r="B30" s="359" t="s">
        <v>4349</v>
      </c>
      <c r="C30" s="360" t="s">
        <v>4210</v>
      </c>
      <c r="D30" s="360" t="s">
        <v>4350</v>
      </c>
      <c r="E30" s="359" t="s">
        <v>4351</v>
      </c>
      <c r="F30" s="361" t="s">
        <v>4201</v>
      </c>
      <c r="G30" s="360" t="s">
        <v>1568</v>
      </c>
      <c r="H30" s="360" t="s">
        <v>4302</v>
      </c>
      <c r="I30" s="362" t="s">
        <v>4352</v>
      </c>
      <c r="J30" s="360" t="s">
        <v>4336</v>
      </c>
      <c r="K30" s="360" t="s">
        <v>4206</v>
      </c>
      <c r="L30" s="360" t="s">
        <v>4353</v>
      </c>
      <c r="M30" s="360" t="s">
        <v>4338</v>
      </c>
    </row>
    <row r="31" spans="2:13" ht="53.25" x14ac:dyDescent="0.15">
      <c r="B31" s="359" t="s">
        <v>4354</v>
      </c>
      <c r="C31" s="360" t="s">
        <v>4210</v>
      </c>
      <c r="D31" s="360" t="s">
        <v>4355</v>
      </c>
      <c r="E31" s="359" t="s">
        <v>4356</v>
      </c>
      <c r="F31" s="361" t="s">
        <v>4201</v>
      </c>
      <c r="G31" s="360" t="s">
        <v>1568</v>
      </c>
      <c r="H31" s="360" t="s">
        <v>4302</v>
      </c>
      <c r="I31" s="362" t="s">
        <v>4357</v>
      </c>
      <c r="J31" s="360" t="s">
        <v>4336</v>
      </c>
      <c r="K31" s="360" t="s">
        <v>4206</v>
      </c>
      <c r="L31" s="360" t="s">
        <v>4358</v>
      </c>
      <c r="M31" s="360" t="s">
        <v>4338</v>
      </c>
    </row>
    <row r="32" spans="2:13" ht="53.25" x14ac:dyDescent="0.15">
      <c r="B32" s="359" t="s">
        <v>4359</v>
      </c>
      <c r="C32" s="360" t="s">
        <v>4210</v>
      </c>
      <c r="D32" s="360" t="s">
        <v>4360</v>
      </c>
      <c r="E32" s="359" t="s">
        <v>4361</v>
      </c>
      <c r="F32" s="361" t="s">
        <v>4201</v>
      </c>
      <c r="G32" s="360" t="s">
        <v>1568</v>
      </c>
      <c r="H32" s="360" t="s">
        <v>4342</v>
      </c>
      <c r="I32" s="362" t="s">
        <v>4362</v>
      </c>
      <c r="J32" s="360" t="s">
        <v>4276</v>
      </c>
      <c r="K32" s="360" t="s">
        <v>4206</v>
      </c>
      <c r="L32" s="360" t="s">
        <v>4337</v>
      </c>
      <c r="M32" s="360" t="s">
        <v>4338</v>
      </c>
    </row>
    <row r="33" spans="2:13" ht="53.25" x14ac:dyDescent="0.15">
      <c r="B33" s="359" t="s">
        <v>4363</v>
      </c>
      <c r="C33" s="360" t="s">
        <v>4198</v>
      </c>
      <c r="D33" s="360" t="s">
        <v>4364</v>
      </c>
      <c r="E33" s="359" t="s">
        <v>4365</v>
      </c>
      <c r="F33" s="361" t="s">
        <v>4334</v>
      </c>
      <c r="G33" s="360" t="s">
        <v>4262</v>
      </c>
      <c r="H33" s="360" t="s">
        <v>4223</v>
      </c>
      <c r="I33" s="362" t="s">
        <v>4357</v>
      </c>
      <c r="J33" s="360" t="s">
        <v>4336</v>
      </c>
      <c r="K33" s="360" t="s">
        <v>4206</v>
      </c>
      <c r="L33" s="360" t="s">
        <v>4366</v>
      </c>
      <c r="M33" s="360" t="s">
        <v>4367</v>
      </c>
    </row>
    <row r="34" spans="2:13" ht="53.25" x14ac:dyDescent="0.15">
      <c r="B34" s="359" t="s">
        <v>4368</v>
      </c>
      <c r="C34" s="360" t="s">
        <v>4210</v>
      </c>
      <c r="D34" s="360" t="s">
        <v>4369</v>
      </c>
      <c r="E34" s="359" t="s">
        <v>4370</v>
      </c>
      <c r="F34" s="361" t="s">
        <v>4334</v>
      </c>
      <c r="G34" s="360" t="s">
        <v>4371</v>
      </c>
      <c r="H34" s="360" t="s">
        <v>4223</v>
      </c>
      <c r="I34" s="362" t="s">
        <v>4372</v>
      </c>
      <c r="J34" s="360" t="s">
        <v>4336</v>
      </c>
      <c r="K34" s="360" t="s">
        <v>4206</v>
      </c>
      <c r="L34" s="360" t="s">
        <v>4373</v>
      </c>
      <c r="M34" s="360" t="s">
        <v>4374</v>
      </c>
    </row>
    <row r="35" spans="2:13" ht="53.25" x14ac:dyDescent="0.15">
      <c r="B35" s="359" t="s">
        <v>4375</v>
      </c>
      <c r="C35" s="360" t="s">
        <v>4198</v>
      </c>
      <c r="D35" s="360" t="s">
        <v>4376</v>
      </c>
      <c r="E35" s="359" t="s">
        <v>4377</v>
      </c>
      <c r="F35" s="361" t="s">
        <v>4201</v>
      </c>
      <c r="G35" s="360" t="s">
        <v>4262</v>
      </c>
      <c r="H35" s="360" t="s">
        <v>4302</v>
      </c>
      <c r="I35" s="362" t="s">
        <v>4378</v>
      </c>
      <c r="J35" s="360" t="s">
        <v>4336</v>
      </c>
      <c r="K35" s="360" t="s">
        <v>4206</v>
      </c>
      <c r="L35" s="360" t="s">
        <v>4379</v>
      </c>
      <c r="M35" s="360" t="s">
        <v>4380</v>
      </c>
    </row>
    <row r="36" spans="2:13" ht="53.25" x14ac:dyDescent="0.15">
      <c r="B36" s="359" t="s">
        <v>4381</v>
      </c>
      <c r="C36" s="360" t="s">
        <v>4198</v>
      </c>
      <c r="D36" s="360" t="s">
        <v>4382</v>
      </c>
      <c r="E36" s="359" t="s">
        <v>4383</v>
      </c>
      <c r="F36" s="361" t="s">
        <v>4201</v>
      </c>
      <c r="G36" s="360" t="s">
        <v>4262</v>
      </c>
      <c r="H36" s="360"/>
      <c r="I36" s="362" t="s">
        <v>4378</v>
      </c>
      <c r="J36" s="360" t="s">
        <v>4336</v>
      </c>
      <c r="K36" s="360" t="s">
        <v>4206</v>
      </c>
      <c r="L36" s="360" t="s">
        <v>4384</v>
      </c>
      <c r="M36" s="360" t="s">
        <v>4385</v>
      </c>
    </row>
    <row r="37" spans="2:13" ht="53.25" x14ac:dyDescent="0.15">
      <c r="B37" s="359" t="s">
        <v>4386</v>
      </c>
      <c r="C37" s="360" t="s">
        <v>4198</v>
      </c>
      <c r="D37" s="360" t="s">
        <v>4387</v>
      </c>
      <c r="E37" s="359" t="s">
        <v>4388</v>
      </c>
      <c r="F37" s="361" t="s">
        <v>4201</v>
      </c>
      <c r="G37" s="360" t="s">
        <v>4202</v>
      </c>
      <c r="H37" s="360" t="s">
        <v>4223</v>
      </c>
      <c r="I37" s="362" t="s">
        <v>4389</v>
      </c>
      <c r="J37" s="360" t="s">
        <v>4336</v>
      </c>
      <c r="K37" s="360" t="s">
        <v>4206</v>
      </c>
      <c r="L37" s="360" t="s">
        <v>4390</v>
      </c>
      <c r="M37" s="360" t="s">
        <v>4391</v>
      </c>
    </row>
    <row r="38" spans="2:13" ht="53.25" x14ac:dyDescent="0.15">
      <c r="B38" s="359" t="s">
        <v>4392</v>
      </c>
      <c r="C38" s="360" t="s">
        <v>4210</v>
      </c>
      <c r="D38" s="360" t="s">
        <v>4393</v>
      </c>
      <c r="E38" s="359" t="s">
        <v>4394</v>
      </c>
      <c r="F38" s="361" t="s">
        <v>4201</v>
      </c>
      <c r="G38" s="360" t="s">
        <v>4202</v>
      </c>
      <c r="H38" s="360" t="s">
        <v>4258</v>
      </c>
      <c r="I38" s="362" t="s">
        <v>4389</v>
      </c>
      <c r="J38" s="360" t="s">
        <v>4336</v>
      </c>
      <c r="K38" s="360" t="s">
        <v>4206</v>
      </c>
      <c r="L38" s="360" t="s">
        <v>4390</v>
      </c>
      <c r="M38" s="360" t="s">
        <v>4391</v>
      </c>
    </row>
    <row r="39" spans="2:13" ht="53.25" x14ac:dyDescent="0.15">
      <c r="B39" s="359" t="s">
        <v>4395</v>
      </c>
      <c r="C39" s="360" t="s">
        <v>4210</v>
      </c>
      <c r="D39" s="360" t="s">
        <v>4396</v>
      </c>
      <c r="E39" s="359" t="s">
        <v>4397</v>
      </c>
      <c r="F39" s="361" t="s">
        <v>4201</v>
      </c>
      <c r="G39" s="360" t="s">
        <v>4202</v>
      </c>
      <c r="H39" s="360" t="s">
        <v>4258</v>
      </c>
      <c r="I39" s="362" t="s">
        <v>4389</v>
      </c>
      <c r="J39" s="360" t="s">
        <v>4336</v>
      </c>
      <c r="K39" s="360" t="s">
        <v>4206</v>
      </c>
      <c r="L39" s="360" t="s">
        <v>4390</v>
      </c>
      <c r="M39" s="360" t="s">
        <v>4391</v>
      </c>
    </row>
    <row r="40" spans="2:13" ht="53.25" x14ac:dyDescent="0.15">
      <c r="B40" s="359" t="s">
        <v>4398</v>
      </c>
      <c r="C40" s="360" t="s">
        <v>4210</v>
      </c>
      <c r="D40" s="360" t="s">
        <v>4399</v>
      </c>
      <c r="E40" s="359" t="s">
        <v>4400</v>
      </c>
      <c r="F40" s="361" t="s">
        <v>4201</v>
      </c>
      <c r="G40" s="360" t="s">
        <v>4202</v>
      </c>
      <c r="H40" s="360" t="s">
        <v>4302</v>
      </c>
      <c r="I40" s="362" t="s">
        <v>4401</v>
      </c>
      <c r="J40" s="360" t="s">
        <v>4336</v>
      </c>
      <c r="K40" s="360" t="s">
        <v>4206</v>
      </c>
      <c r="L40" s="360" t="s">
        <v>4402</v>
      </c>
      <c r="M40" s="360" t="s">
        <v>4403</v>
      </c>
    </row>
    <row r="41" spans="2:13" ht="53.25" x14ac:dyDescent="0.15">
      <c r="B41" s="359" t="s">
        <v>4404</v>
      </c>
      <c r="C41" s="360" t="s">
        <v>4210</v>
      </c>
      <c r="D41" s="360" t="s">
        <v>4405</v>
      </c>
      <c r="E41" s="359" t="s">
        <v>4406</v>
      </c>
      <c r="F41" s="361" t="s">
        <v>4201</v>
      </c>
      <c r="G41" s="360" t="s">
        <v>4202</v>
      </c>
      <c r="H41" s="360" t="s">
        <v>4302</v>
      </c>
      <c r="I41" s="362" t="s">
        <v>4407</v>
      </c>
      <c r="J41" s="360" t="s">
        <v>4336</v>
      </c>
      <c r="K41" s="360" t="s">
        <v>4206</v>
      </c>
      <c r="L41" s="360" t="s">
        <v>4408</v>
      </c>
      <c r="M41" s="360" t="s">
        <v>4409</v>
      </c>
    </row>
    <row r="42" spans="2:13" ht="53.25" x14ac:dyDescent="0.15">
      <c r="B42" s="359" t="s">
        <v>4410</v>
      </c>
      <c r="C42" s="360" t="s">
        <v>4210</v>
      </c>
      <c r="D42" s="360" t="s">
        <v>4411</v>
      </c>
      <c r="E42" s="359" t="s">
        <v>4412</v>
      </c>
      <c r="F42" s="361" t="s">
        <v>4201</v>
      </c>
      <c r="G42" s="360" t="s">
        <v>4202</v>
      </c>
      <c r="H42" s="360" t="s">
        <v>4342</v>
      </c>
      <c r="I42" s="362" t="s">
        <v>4413</v>
      </c>
      <c r="J42" s="360" t="s">
        <v>4276</v>
      </c>
      <c r="K42" s="360" t="s">
        <v>4206</v>
      </c>
      <c r="L42" s="360" t="s">
        <v>4390</v>
      </c>
      <c r="M42" s="360" t="s">
        <v>4391</v>
      </c>
    </row>
    <row r="43" spans="2:13" ht="53.25" x14ac:dyDescent="0.15">
      <c r="B43" s="359" t="s">
        <v>4414</v>
      </c>
      <c r="C43" s="360" t="s">
        <v>4210</v>
      </c>
      <c r="D43" s="360" t="s">
        <v>4415</v>
      </c>
      <c r="E43" s="359" t="s">
        <v>4416</v>
      </c>
      <c r="F43" s="361" t="s">
        <v>4201</v>
      </c>
      <c r="G43" s="360" t="s">
        <v>4202</v>
      </c>
      <c r="H43" s="360" t="s">
        <v>4302</v>
      </c>
      <c r="I43" s="362" t="s">
        <v>4417</v>
      </c>
      <c r="J43" s="360" t="s">
        <v>4336</v>
      </c>
      <c r="K43" s="360" t="s">
        <v>4206</v>
      </c>
      <c r="L43" s="360"/>
      <c r="M43" s="360" t="s">
        <v>4418</v>
      </c>
    </row>
    <row r="44" spans="2:13" ht="53.25" x14ac:dyDescent="0.15">
      <c r="B44" s="359" t="s">
        <v>4419</v>
      </c>
      <c r="C44" s="360" t="s">
        <v>4198</v>
      </c>
      <c r="D44" s="360" t="s">
        <v>4420</v>
      </c>
      <c r="E44" s="359" t="s">
        <v>4421</v>
      </c>
      <c r="F44" s="361" t="s">
        <v>4201</v>
      </c>
      <c r="G44" s="360" t="s">
        <v>4422</v>
      </c>
      <c r="H44" s="360" t="s">
        <v>4342</v>
      </c>
      <c r="I44" s="362" t="s">
        <v>4423</v>
      </c>
      <c r="J44" s="360" t="s">
        <v>4336</v>
      </c>
      <c r="K44" s="360" t="s">
        <v>4424</v>
      </c>
      <c r="L44" s="360" t="s">
        <v>2967</v>
      </c>
      <c r="M44" s="360" t="s">
        <v>4425</v>
      </c>
    </row>
    <row r="45" spans="2:13" ht="53.25" x14ac:dyDescent="0.15">
      <c r="B45" s="359" t="s">
        <v>4426</v>
      </c>
      <c r="C45" s="360" t="s">
        <v>4198</v>
      </c>
      <c r="D45" s="360" t="s">
        <v>4427</v>
      </c>
      <c r="E45" s="359" t="s">
        <v>4428</v>
      </c>
      <c r="F45" s="361" t="s">
        <v>4201</v>
      </c>
      <c r="G45" s="360" t="s">
        <v>4262</v>
      </c>
      <c r="H45" s="360" t="s">
        <v>4302</v>
      </c>
      <c r="I45" s="362" t="s">
        <v>4378</v>
      </c>
      <c r="J45" s="360" t="s">
        <v>4336</v>
      </c>
      <c r="K45" s="360" t="s">
        <v>4206</v>
      </c>
      <c r="L45" s="360" t="s">
        <v>4429</v>
      </c>
      <c r="M45" s="360" t="s">
        <v>4380</v>
      </c>
    </row>
    <row r="46" spans="2:13" ht="53.25" x14ac:dyDescent="0.15">
      <c r="B46" s="359" t="s">
        <v>4430</v>
      </c>
      <c r="C46" s="360" t="s">
        <v>4198</v>
      </c>
      <c r="D46" s="360" t="s">
        <v>4431</v>
      </c>
      <c r="E46" s="359" t="s">
        <v>4432</v>
      </c>
      <c r="F46" s="361" t="s">
        <v>4334</v>
      </c>
      <c r="G46" s="360" t="s">
        <v>4202</v>
      </c>
      <c r="H46" s="360" t="s">
        <v>4223</v>
      </c>
      <c r="I46" s="362" t="s">
        <v>4433</v>
      </c>
      <c r="J46" s="360" t="s">
        <v>4434</v>
      </c>
      <c r="K46" s="360" t="s">
        <v>4206</v>
      </c>
      <c r="L46" s="360" t="s">
        <v>4435</v>
      </c>
      <c r="M46" s="360" t="s">
        <v>4436</v>
      </c>
    </row>
    <row r="47" spans="2:13" ht="53.25" x14ac:dyDescent="0.15">
      <c r="B47" s="359" t="s">
        <v>4437</v>
      </c>
      <c r="C47" s="360" t="s">
        <v>4198</v>
      </c>
      <c r="D47" s="360" t="s">
        <v>4438</v>
      </c>
      <c r="E47" s="359" t="s">
        <v>4439</v>
      </c>
      <c r="F47" s="361" t="s">
        <v>4334</v>
      </c>
      <c r="G47" s="360" t="s">
        <v>4202</v>
      </c>
      <c r="H47" s="360" t="s">
        <v>4223</v>
      </c>
      <c r="I47" s="362" t="s">
        <v>4440</v>
      </c>
      <c r="J47" s="360" t="s">
        <v>4434</v>
      </c>
      <c r="K47" s="360" t="s">
        <v>4206</v>
      </c>
      <c r="L47" s="360" t="s">
        <v>4441</v>
      </c>
      <c r="M47" s="360" t="s">
        <v>4442</v>
      </c>
    </row>
    <row r="48" spans="2:13" ht="84" x14ac:dyDescent="0.15">
      <c r="B48" s="359" t="s">
        <v>4443</v>
      </c>
      <c r="C48" s="360" t="s">
        <v>4198</v>
      </c>
      <c r="D48" s="360" t="s">
        <v>4444</v>
      </c>
      <c r="E48" s="359" t="s">
        <v>4445</v>
      </c>
      <c r="F48" s="361" t="s">
        <v>4201</v>
      </c>
      <c r="G48" s="360" t="s">
        <v>4371</v>
      </c>
      <c r="H48" s="360" t="s">
        <v>4223</v>
      </c>
      <c r="I48" s="362"/>
      <c r="J48" s="360" t="s">
        <v>4446</v>
      </c>
      <c r="K48" s="360" t="s">
        <v>4206</v>
      </c>
      <c r="L48" s="360" t="s">
        <v>4447</v>
      </c>
      <c r="M48" s="360" t="s">
        <v>4448</v>
      </c>
    </row>
    <row r="49" spans="2:13" ht="74.25" x14ac:dyDescent="0.15">
      <c r="B49" s="359" t="s">
        <v>4449</v>
      </c>
      <c r="C49" s="360" t="s">
        <v>4210</v>
      </c>
      <c r="D49" s="360" t="s">
        <v>4450</v>
      </c>
      <c r="E49" s="359" t="s">
        <v>4451</v>
      </c>
      <c r="F49" s="361" t="s">
        <v>4201</v>
      </c>
      <c r="G49" s="360" t="s">
        <v>4371</v>
      </c>
      <c r="H49" s="360" t="s">
        <v>4203</v>
      </c>
      <c r="I49" s="362" t="s">
        <v>4269</v>
      </c>
      <c r="J49" s="360" t="s">
        <v>4233</v>
      </c>
      <c r="K49" s="360" t="s">
        <v>4206</v>
      </c>
      <c r="L49" s="360" t="s">
        <v>4452</v>
      </c>
      <c r="M49" s="360" t="s">
        <v>4453</v>
      </c>
    </row>
    <row r="50" spans="2:13" ht="53.25" x14ac:dyDescent="0.15">
      <c r="B50" s="359" t="s">
        <v>4454</v>
      </c>
      <c r="C50" s="360" t="s">
        <v>4198</v>
      </c>
      <c r="D50" s="360" t="s">
        <v>4455</v>
      </c>
      <c r="E50" s="359" t="s">
        <v>4456</v>
      </c>
      <c r="F50" s="361" t="s">
        <v>4201</v>
      </c>
      <c r="G50" s="360" t="s">
        <v>1568</v>
      </c>
      <c r="H50" s="360" t="s">
        <v>4342</v>
      </c>
      <c r="I50" s="362" t="s">
        <v>4457</v>
      </c>
      <c r="J50" s="360" t="s">
        <v>4458</v>
      </c>
      <c r="K50" s="360" t="s">
        <v>4206</v>
      </c>
      <c r="L50" s="360" t="s">
        <v>2967</v>
      </c>
      <c r="M50" s="360" t="s">
        <v>4459</v>
      </c>
    </row>
    <row r="51" spans="2:13" ht="53.25" x14ac:dyDescent="0.15">
      <c r="B51" s="359" t="s">
        <v>4460</v>
      </c>
      <c r="C51" s="360" t="s">
        <v>4210</v>
      </c>
      <c r="D51" s="360" t="s">
        <v>4461</v>
      </c>
      <c r="E51" s="359" t="s">
        <v>4462</v>
      </c>
      <c r="F51" s="361" t="s">
        <v>4201</v>
      </c>
      <c r="G51" s="360" t="s">
        <v>1568</v>
      </c>
      <c r="H51" s="360" t="s">
        <v>4463</v>
      </c>
      <c r="I51" s="362" t="s">
        <v>4464</v>
      </c>
      <c r="J51" s="360" t="s">
        <v>4233</v>
      </c>
      <c r="K51" s="360" t="s">
        <v>4206</v>
      </c>
      <c r="L51" s="360" t="s">
        <v>2967</v>
      </c>
      <c r="M51" s="360" t="s">
        <v>4459</v>
      </c>
    </row>
    <row r="52" spans="2:13" ht="53.25" x14ac:dyDescent="0.15">
      <c r="B52" s="359" t="s">
        <v>4465</v>
      </c>
      <c r="C52" s="360" t="s">
        <v>4198</v>
      </c>
      <c r="D52" s="360" t="s">
        <v>4466</v>
      </c>
      <c r="E52" s="359" t="s">
        <v>4467</v>
      </c>
      <c r="F52" s="361" t="s">
        <v>4201</v>
      </c>
      <c r="G52" s="360" t="s">
        <v>4371</v>
      </c>
      <c r="H52" s="360" t="s">
        <v>4223</v>
      </c>
      <c r="I52" s="362" t="s">
        <v>4457</v>
      </c>
      <c r="J52" s="360" t="s">
        <v>4458</v>
      </c>
      <c r="K52" s="360" t="s">
        <v>4206</v>
      </c>
      <c r="L52" s="360" t="s">
        <v>2967</v>
      </c>
      <c r="M52" s="360" t="s">
        <v>4468</v>
      </c>
    </row>
    <row r="53" spans="2:13" ht="53.25" x14ac:dyDescent="0.15">
      <c r="B53" s="359" t="s">
        <v>4469</v>
      </c>
      <c r="C53" s="360" t="s">
        <v>4198</v>
      </c>
      <c r="D53" s="360" t="s">
        <v>4470</v>
      </c>
      <c r="E53" s="359" t="s">
        <v>4471</v>
      </c>
      <c r="F53" s="361" t="s">
        <v>4201</v>
      </c>
      <c r="G53" s="360" t="s">
        <v>4262</v>
      </c>
      <c r="H53" s="360" t="s">
        <v>4213</v>
      </c>
      <c r="I53" s="362" t="s">
        <v>4472</v>
      </c>
      <c r="J53" s="360" t="s">
        <v>4458</v>
      </c>
      <c r="K53" s="360" t="s">
        <v>4206</v>
      </c>
      <c r="L53" s="360" t="s">
        <v>4473</v>
      </c>
      <c r="M53" s="360" t="s">
        <v>4474</v>
      </c>
    </row>
    <row r="54" spans="2:13" ht="53.25" x14ac:dyDescent="0.15">
      <c r="B54" s="359" t="s">
        <v>4475</v>
      </c>
      <c r="C54" s="360" t="s">
        <v>4198</v>
      </c>
      <c r="D54" s="360" t="s">
        <v>4476</v>
      </c>
      <c r="E54" s="359" t="s">
        <v>4477</v>
      </c>
      <c r="F54" s="361" t="s">
        <v>4201</v>
      </c>
      <c r="G54" s="360" t="s">
        <v>4262</v>
      </c>
      <c r="H54" s="360" t="s">
        <v>4313</v>
      </c>
      <c r="I54" s="362" t="s">
        <v>4478</v>
      </c>
      <c r="J54" s="360" t="s">
        <v>4479</v>
      </c>
      <c r="K54" s="360" t="s">
        <v>4206</v>
      </c>
      <c r="L54" s="360" t="s">
        <v>4358</v>
      </c>
      <c r="M54" s="360" t="s">
        <v>4480</v>
      </c>
    </row>
    <row r="55" spans="2:13" ht="53.25" x14ac:dyDescent="0.15">
      <c r="B55" s="359" t="s">
        <v>4481</v>
      </c>
      <c r="C55" s="360" t="s">
        <v>4198</v>
      </c>
      <c r="D55" s="360" t="s">
        <v>4482</v>
      </c>
      <c r="E55" s="359" t="s">
        <v>4483</v>
      </c>
      <c r="F55" s="361" t="s">
        <v>4201</v>
      </c>
      <c r="G55" s="360" t="s">
        <v>4262</v>
      </c>
      <c r="H55" s="360" t="s">
        <v>4203</v>
      </c>
      <c r="I55" s="362" t="s">
        <v>4484</v>
      </c>
      <c r="J55" s="360" t="s">
        <v>4479</v>
      </c>
      <c r="K55" s="360" t="s">
        <v>4206</v>
      </c>
      <c r="L55" s="360" t="s">
        <v>4485</v>
      </c>
      <c r="M55" s="360" t="s">
        <v>4486</v>
      </c>
    </row>
    <row r="56" spans="2:13" ht="53.25" x14ac:dyDescent="0.15">
      <c r="B56" s="359" t="s">
        <v>4487</v>
      </c>
      <c r="C56" s="360" t="s">
        <v>4198</v>
      </c>
      <c r="D56" s="360" t="s">
        <v>4488</v>
      </c>
      <c r="E56" s="359" t="s">
        <v>4489</v>
      </c>
      <c r="F56" s="361" t="s">
        <v>4201</v>
      </c>
      <c r="G56" s="360" t="s">
        <v>4262</v>
      </c>
      <c r="H56" s="360" t="s">
        <v>4302</v>
      </c>
      <c r="I56" s="362" t="s">
        <v>4490</v>
      </c>
      <c r="J56" s="360" t="s">
        <v>4479</v>
      </c>
      <c r="K56" s="360" t="s">
        <v>4206</v>
      </c>
      <c r="L56" s="360" t="s">
        <v>4491</v>
      </c>
      <c r="M56" s="360" t="s">
        <v>4480</v>
      </c>
    </row>
    <row r="57" spans="2:13" ht="53.25" x14ac:dyDescent="0.15">
      <c r="B57" s="359" t="s">
        <v>4492</v>
      </c>
      <c r="C57" s="360" t="s">
        <v>4198</v>
      </c>
      <c r="D57" s="360" t="s">
        <v>4493</v>
      </c>
      <c r="E57" s="359" t="s">
        <v>4494</v>
      </c>
      <c r="F57" s="361" t="s">
        <v>4201</v>
      </c>
      <c r="G57" s="360" t="s">
        <v>4262</v>
      </c>
      <c r="H57" s="360" t="s">
        <v>4223</v>
      </c>
      <c r="I57" s="362" t="s">
        <v>4495</v>
      </c>
      <c r="J57" s="360" t="s">
        <v>4479</v>
      </c>
      <c r="K57" s="360" t="s">
        <v>4206</v>
      </c>
      <c r="L57" s="360"/>
      <c r="M57" s="360" t="s">
        <v>4496</v>
      </c>
    </row>
    <row r="58" spans="2:13" ht="53.25" x14ac:dyDescent="0.15">
      <c r="B58" s="359" t="s">
        <v>4497</v>
      </c>
      <c r="C58" s="360" t="s">
        <v>4198</v>
      </c>
      <c r="D58" s="360" t="s">
        <v>4498</v>
      </c>
      <c r="E58" s="359" t="s">
        <v>4499</v>
      </c>
      <c r="F58" s="361" t="s">
        <v>4201</v>
      </c>
      <c r="G58" s="360" t="s">
        <v>4262</v>
      </c>
      <c r="H58" s="360" t="s">
        <v>4223</v>
      </c>
      <c r="I58" s="362" t="s">
        <v>4484</v>
      </c>
      <c r="J58" s="360" t="s">
        <v>4479</v>
      </c>
      <c r="K58" s="360" t="s">
        <v>4206</v>
      </c>
      <c r="L58" s="360" t="s">
        <v>4485</v>
      </c>
      <c r="M58" s="360" t="s">
        <v>4500</v>
      </c>
    </row>
    <row r="59" spans="2:13" ht="53.25" x14ac:dyDescent="0.15">
      <c r="B59" s="359" t="s">
        <v>4501</v>
      </c>
      <c r="C59" s="360" t="s">
        <v>4198</v>
      </c>
      <c r="D59" s="360" t="s">
        <v>4502</v>
      </c>
      <c r="E59" s="359" t="s">
        <v>4503</v>
      </c>
      <c r="F59" s="361" t="s">
        <v>4201</v>
      </c>
      <c r="G59" s="360" t="s">
        <v>1568</v>
      </c>
      <c r="H59" s="360" t="s">
        <v>4342</v>
      </c>
      <c r="I59" s="362" t="s">
        <v>4484</v>
      </c>
      <c r="J59" s="360" t="s">
        <v>4479</v>
      </c>
      <c r="K59" s="360" t="s">
        <v>4206</v>
      </c>
      <c r="L59" s="360" t="s">
        <v>4285</v>
      </c>
      <c r="M59" s="360" t="s">
        <v>4504</v>
      </c>
    </row>
    <row r="60" spans="2:13" ht="53.25" x14ac:dyDescent="0.15">
      <c r="B60" s="359" t="s">
        <v>4505</v>
      </c>
      <c r="C60" s="360" t="s">
        <v>4198</v>
      </c>
      <c r="D60" s="360" t="s">
        <v>4506</v>
      </c>
      <c r="E60" s="359" t="s">
        <v>4507</v>
      </c>
      <c r="F60" s="361" t="s">
        <v>4201</v>
      </c>
      <c r="G60" s="360" t="s">
        <v>4262</v>
      </c>
      <c r="H60" s="360" t="s">
        <v>4223</v>
      </c>
      <c r="I60" s="362" t="s">
        <v>4508</v>
      </c>
      <c r="J60" s="360" t="s">
        <v>4509</v>
      </c>
      <c r="K60" s="360" t="s">
        <v>4206</v>
      </c>
      <c r="L60" s="360" t="s">
        <v>4285</v>
      </c>
      <c r="M60" s="360" t="s">
        <v>4480</v>
      </c>
    </row>
    <row r="61" spans="2:13" ht="53.25" x14ac:dyDescent="0.15">
      <c r="B61" s="359" t="s">
        <v>4510</v>
      </c>
      <c r="C61" s="360" t="s">
        <v>4210</v>
      </c>
      <c r="D61" s="360" t="s">
        <v>4511</v>
      </c>
      <c r="E61" s="359" t="s">
        <v>4512</v>
      </c>
      <c r="F61" s="361" t="s">
        <v>4334</v>
      </c>
      <c r="G61" s="360" t="s">
        <v>4371</v>
      </c>
      <c r="H61" s="360" t="s">
        <v>4223</v>
      </c>
      <c r="I61" s="362"/>
      <c r="J61" s="360" t="s">
        <v>4479</v>
      </c>
      <c r="K61" s="360" t="s">
        <v>4206</v>
      </c>
      <c r="L61" s="360"/>
      <c r="M61" s="360" t="s">
        <v>4513</v>
      </c>
    </row>
    <row r="62" spans="2:13" ht="53.25" x14ac:dyDescent="0.15">
      <c r="B62" s="359" t="s">
        <v>4514</v>
      </c>
      <c r="C62" s="360" t="s">
        <v>4210</v>
      </c>
      <c r="D62" s="360" t="s">
        <v>4515</v>
      </c>
      <c r="E62" s="359" t="s">
        <v>4516</v>
      </c>
      <c r="F62" s="361" t="s">
        <v>4334</v>
      </c>
      <c r="G62" s="360" t="s">
        <v>4371</v>
      </c>
      <c r="H62" s="360" t="s">
        <v>4223</v>
      </c>
      <c r="I62" s="362" t="s">
        <v>4508</v>
      </c>
      <c r="J62" s="360" t="s">
        <v>4509</v>
      </c>
      <c r="K62" s="360" t="s">
        <v>4206</v>
      </c>
      <c r="L62" s="360" t="s">
        <v>4517</v>
      </c>
      <c r="M62" s="360" t="s">
        <v>4518</v>
      </c>
    </row>
    <row r="63" spans="2:13" ht="53.25" x14ac:dyDescent="0.15">
      <c r="B63" s="359" t="s">
        <v>4519</v>
      </c>
      <c r="C63" s="360" t="s">
        <v>4210</v>
      </c>
      <c r="D63" s="360" t="s">
        <v>4520</v>
      </c>
      <c r="E63" s="359" t="s">
        <v>4521</v>
      </c>
      <c r="F63" s="361" t="s">
        <v>4334</v>
      </c>
      <c r="G63" s="360" t="s">
        <v>4371</v>
      </c>
      <c r="H63" s="360" t="s">
        <v>4313</v>
      </c>
      <c r="I63" s="362"/>
      <c r="J63" s="360" t="s">
        <v>4479</v>
      </c>
      <c r="K63" s="360" t="s">
        <v>4206</v>
      </c>
      <c r="L63" s="360" t="s">
        <v>4517</v>
      </c>
      <c r="M63" s="360" t="s">
        <v>4518</v>
      </c>
    </row>
    <row r="64" spans="2:13" ht="53.25" x14ac:dyDescent="0.15">
      <c r="B64" s="359" t="s">
        <v>4522</v>
      </c>
      <c r="C64" s="360" t="s">
        <v>4198</v>
      </c>
      <c r="D64" s="360" t="s">
        <v>4523</v>
      </c>
      <c r="E64" s="359" t="s">
        <v>4524</v>
      </c>
      <c r="F64" s="361" t="s">
        <v>4201</v>
      </c>
      <c r="G64" s="360" t="s">
        <v>4202</v>
      </c>
      <c r="H64" s="360" t="s">
        <v>4223</v>
      </c>
      <c r="I64" s="362" t="s">
        <v>4525</v>
      </c>
      <c r="J64" s="360" t="s">
        <v>4526</v>
      </c>
      <c r="K64" s="360" t="s">
        <v>4206</v>
      </c>
      <c r="L64" s="360" t="s">
        <v>4527</v>
      </c>
      <c r="M64" s="360" t="s">
        <v>4528</v>
      </c>
    </row>
    <row r="65" spans="2:13" ht="53.25" x14ac:dyDescent="0.15">
      <c r="B65" s="359" t="s">
        <v>4529</v>
      </c>
      <c r="C65" s="360" t="s">
        <v>4210</v>
      </c>
      <c r="D65" s="360" t="s">
        <v>4530</v>
      </c>
      <c r="E65" s="359" t="s">
        <v>4531</v>
      </c>
      <c r="F65" s="361" t="s">
        <v>4201</v>
      </c>
      <c r="G65" s="360" t="s">
        <v>4202</v>
      </c>
      <c r="H65" s="360" t="s">
        <v>4223</v>
      </c>
      <c r="I65" s="362" t="s">
        <v>4532</v>
      </c>
      <c r="J65" s="360" t="s">
        <v>4526</v>
      </c>
      <c r="K65" s="360" t="s">
        <v>4206</v>
      </c>
      <c r="L65" s="360" t="s">
        <v>4533</v>
      </c>
      <c r="M65" s="360" t="s">
        <v>4528</v>
      </c>
    </row>
    <row r="66" spans="2:13" ht="53.25" x14ac:dyDescent="0.15">
      <c r="B66" s="359" t="s">
        <v>4534</v>
      </c>
      <c r="C66" s="360" t="s">
        <v>4210</v>
      </c>
      <c r="D66" s="360" t="s">
        <v>4535</v>
      </c>
      <c r="E66" s="359" t="s">
        <v>4536</v>
      </c>
      <c r="F66" s="361" t="s">
        <v>4201</v>
      </c>
      <c r="G66" s="360" t="s">
        <v>4202</v>
      </c>
      <c r="H66" s="360" t="s">
        <v>4302</v>
      </c>
      <c r="I66" s="362" t="s">
        <v>4537</v>
      </c>
      <c r="J66" s="360" t="s">
        <v>4526</v>
      </c>
      <c r="K66" s="360" t="s">
        <v>4206</v>
      </c>
      <c r="L66" s="360" t="s">
        <v>4538</v>
      </c>
      <c r="M66" s="360" t="s">
        <v>4528</v>
      </c>
    </row>
    <row r="67" spans="2:13" ht="53.25" x14ac:dyDescent="0.15">
      <c r="B67" s="359" t="s">
        <v>4539</v>
      </c>
      <c r="C67" s="360" t="s">
        <v>4210</v>
      </c>
      <c r="D67" s="360" t="s">
        <v>4540</v>
      </c>
      <c r="E67" s="359" t="s">
        <v>4541</v>
      </c>
      <c r="F67" s="361" t="s">
        <v>4334</v>
      </c>
      <c r="G67" s="360" t="s">
        <v>4202</v>
      </c>
      <c r="H67" s="360" t="s">
        <v>4203</v>
      </c>
      <c r="I67" s="362" t="s">
        <v>4542</v>
      </c>
      <c r="J67" s="360" t="s">
        <v>4526</v>
      </c>
      <c r="K67" s="360" t="s">
        <v>4206</v>
      </c>
      <c r="L67" s="360" t="s">
        <v>4543</v>
      </c>
      <c r="M67" s="360" t="s">
        <v>4528</v>
      </c>
    </row>
    <row r="68" spans="2:13" ht="53.25" x14ac:dyDescent="0.15">
      <c r="B68" s="359" t="s">
        <v>4544</v>
      </c>
      <c r="C68" s="360" t="s">
        <v>4198</v>
      </c>
      <c r="D68" s="360" t="s">
        <v>4545</v>
      </c>
      <c r="E68" s="359" t="s">
        <v>4546</v>
      </c>
      <c r="F68" s="361" t="s">
        <v>4201</v>
      </c>
      <c r="G68" s="360" t="s">
        <v>4282</v>
      </c>
      <c r="H68" s="360" t="s">
        <v>4223</v>
      </c>
      <c r="I68" s="362" t="s">
        <v>4547</v>
      </c>
      <c r="J68" s="360" t="s">
        <v>4548</v>
      </c>
      <c r="K68" s="360" t="s">
        <v>4206</v>
      </c>
      <c r="L68" s="360" t="s">
        <v>4549</v>
      </c>
      <c r="M68" s="360" t="s">
        <v>4550</v>
      </c>
    </row>
    <row r="69" spans="2:13" ht="53.25" x14ac:dyDescent="0.15">
      <c r="B69" s="359" t="s">
        <v>4551</v>
      </c>
      <c r="C69" s="360" t="s">
        <v>4198</v>
      </c>
      <c r="D69" s="360" t="s">
        <v>4552</v>
      </c>
      <c r="E69" s="359" t="s">
        <v>4553</v>
      </c>
      <c r="F69" s="361" t="s">
        <v>4201</v>
      </c>
      <c r="G69" s="360" t="s">
        <v>4202</v>
      </c>
      <c r="H69" s="360" t="s">
        <v>4223</v>
      </c>
      <c r="I69" s="362" t="s">
        <v>4554</v>
      </c>
      <c r="J69" s="360" t="s">
        <v>4548</v>
      </c>
      <c r="K69" s="360" t="s">
        <v>4206</v>
      </c>
      <c r="L69" s="360" t="s">
        <v>4555</v>
      </c>
      <c r="M69" s="360" t="s">
        <v>4330</v>
      </c>
    </row>
    <row r="70" spans="2:13" ht="53.25" x14ac:dyDescent="0.15">
      <c r="B70" s="359" t="s">
        <v>4556</v>
      </c>
      <c r="C70" s="360" t="s">
        <v>4210</v>
      </c>
      <c r="D70" s="360" t="s">
        <v>4557</v>
      </c>
      <c r="E70" s="359" t="s">
        <v>4558</v>
      </c>
      <c r="F70" s="361" t="s">
        <v>4201</v>
      </c>
      <c r="G70" s="360" t="s">
        <v>4202</v>
      </c>
      <c r="H70" s="360" t="s">
        <v>4223</v>
      </c>
      <c r="I70" s="362" t="s">
        <v>4559</v>
      </c>
      <c r="J70" s="360" t="s">
        <v>4344</v>
      </c>
      <c r="K70" s="360" t="s">
        <v>4206</v>
      </c>
      <c r="L70" s="360" t="s">
        <v>4560</v>
      </c>
      <c r="M70" s="360" t="s">
        <v>4330</v>
      </c>
    </row>
    <row r="71" spans="2:13" ht="53.25" x14ac:dyDescent="0.15">
      <c r="B71" s="359" t="s">
        <v>4561</v>
      </c>
      <c r="C71" s="360" t="s">
        <v>4210</v>
      </c>
      <c r="D71" s="360" t="s">
        <v>4562</v>
      </c>
      <c r="E71" s="359" t="s">
        <v>4563</v>
      </c>
      <c r="F71" s="361" t="s">
        <v>4201</v>
      </c>
      <c r="G71" s="360" t="s">
        <v>4202</v>
      </c>
      <c r="H71" s="360" t="s">
        <v>4223</v>
      </c>
      <c r="I71" s="362" t="s">
        <v>4559</v>
      </c>
      <c r="J71" s="360" t="s">
        <v>4344</v>
      </c>
      <c r="K71" s="360" t="s">
        <v>4206</v>
      </c>
      <c r="L71" s="360" t="s">
        <v>4564</v>
      </c>
      <c r="M71" s="360" t="s">
        <v>4565</v>
      </c>
    </row>
    <row r="72" spans="2:13" ht="53.25" x14ac:dyDescent="0.15">
      <c r="B72" s="359" t="s">
        <v>4566</v>
      </c>
      <c r="C72" s="360" t="s">
        <v>4210</v>
      </c>
      <c r="D72" s="360" t="s">
        <v>4567</v>
      </c>
      <c r="E72" s="359" t="s">
        <v>4568</v>
      </c>
      <c r="F72" s="361" t="s">
        <v>4334</v>
      </c>
      <c r="G72" s="360" t="s">
        <v>4202</v>
      </c>
      <c r="H72" s="360" t="s">
        <v>4302</v>
      </c>
      <c r="I72" s="362" t="s">
        <v>4569</v>
      </c>
      <c r="J72" s="360" t="s">
        <v>4526</v>
      </c>
      <c r="K72" s="360" t="s">
        <v>4206</v>
      </c>
      <c r="L72" s="360"/>
      <c r="M72" s="360" t="s">
        <v>4330</v>
      </c>
    </row>
    <row r="73" spans="2:13" ht="53.25" x14ac:dyDescent="0.15">
      <c r="B73" s="359" t="s">
        <v>4570</v>
      </c>
      <c r="C73" s="360" t="s">
        <v>4198</v>
      </c>
      <c r="D73" s="360" t="s">
        <v>4571</v>
      </c>
      <c r="E73" s="359" t="s">
        <v>4572</v>
      </c>
      <c r="F73" s="361" t="s">
        <v>4201</v>
      </c>
      <c r="G73" s="360" t="s">
        <v>4262</v>
      </c>
      <c r="H73" s="360" t="s">
        <v>4223</v>
      </c>
      <c r="I73" s="362" t="s">
        <v>4573</v>
      </c>
      <c r="J73" s="360" t="s">
        <v>4574</v>
      </c>
      <c r="K73" s="360" t="s">
        <v>4206</v>
      </c>
      <c r="L73" s="360" t="s">
        <v>4575</v>
      </c>
      <c r="M73" s="360" t="s">
        <v>4576</v>
      </c>
    </row>
    <row r="74" spans="2:13" ht="53.25" x14ac:dyDescent="0.15">
      <c r="B74" s="359" t="s">
        <v>4577</v>
      </c>
      <c r="C74" s="360" t="s">
        <v>4210</v>
      </c>
      <c r="D74" s="360" t="s">
        <v>4578</v>
      </c>
      <c r="E74" s="359" t="s">
        <v>4579</v>
      </c>
      <c r="F74" s="361" t="s">
        <v>4334</v>
      </c>
      <c r="G74" s="360" t="s">
        <v>4262</v>
      </c>
      <c r="H74" s="360" t="s">
        <v>4302</v>
      </c>
      <c r="I74" s="362" t="s">
        <v>4580</v>
      </c>
      <c r="J74" s="360" t="s">
        <v>4581</v>
      </c>
      <c r="K74" s="360" t="s">
        <v>4206</v>
      </c>
      <c r="L74" s="360" t="s">
        <v>4285</v>
      </c>
      <c r="M74" s="360" t="s">
        <v>4582</v>
      </c>
    </row>
    <row r="75" spans="2:13" ht="53.25" x14ac:dyDescent="0.15">
      <c r="B75" s="359" t="s">
        <v>4583</v>
      </c>
      <c r="C75" s="360" t="s">
        <v>4210</v>
      </c>
      <c r="D75" s="360" t="s">
        <v>4584</v>
      </c>
      <c r="E75" s="359" t="s">
        <v>4585</v>
      </c>
      <c r="F75" s="361" t="s">
        <v>4201</v>
      </c>
      <c r="G75" s="360" t="s">
        <v>1568</v>
      </c>
      <c r="H75" s="360" t="s">
        <v>4342</v>
      </c>
      <c r="I75" s="362" t="s">
        <v>4586</v>
      </c>
      <c r="J75" s="360" t="s">
        <v>4276</v>
      </c>
      <c r="K75" s="360" t="s">
        <v>4206</v>
      </c>
      <c r="L75" s="360" t="s">
        <v>4234</v>
      </c>
      <c r="M75" s="360" t="s">
        <v>4576</v>
      </c>
    </row>
    <row r="76" spans="2:13" ht="53.25" x14ac:dyDescent="0.15">
      <c r="B76" s="359" t="s">
        <v>4587</v>
      </c>
      <c r="C76" s="360" t="s">
        <v>4210</v>
      </c>
      <c r="D76" s="360" t="s">
        <v>4588</v>
      </c>
      <c r="E76" s="359" t="s">
        <v>4589</v>
      </c>
      <c r="F76" s="361" t="s">
        <v>4201</v>
      </c>
      <c r="G76" s="360" t="s">
        <v>1568</v>
      </c>
      <c r="H76" s="360" t="s">
        <v>4258</v>
      </c>
      <c r="I76" s="362" t="s">
        <v>4590</v>
      </c>
      <c r="J76" s="360" t="s">
        <v>4284</v>
      </c>
      <c r="K76" s="360" t="s">
        <v>4206</v>
      </c>
      <c r="L76" s="360" t="s">
        <v>4575</v>
      </c>
      <c r="M76" s="360" t="s">
        <v>4591</v>
      </c>
    </row>
    <row r="77" spans="2:13" ht="53.25" x14ac:dyDescent="0.15">
      <c r="B77" s="359" t="s">
        <v>4592</v>
      </c>
      <c r="C77" s="360" t="s">
        <v>4198</v>
      </c>
      <c r="D77" s="360" t="s">
        <v>4593</v>
      </c>
      <c r="E77" s="359" t="s">
        <v>4594</v>
      </c>
      <c r="F77" s="361" t="s">
        <v>4201</v>
      </c>
      <c r="G77" s="360" t="s">
        <v>4262</v>
      </c>
      <c r="H77" s="360" t="s">
        <v>4223</v>
      </c>
      <c r="I77" s="362" t="s">
        <v>4595</v>
      </c>
      <c r="J77" s="360" t="s">
        <v>4596</v>
      </c>
      <c r="K77" s="360" t="s">
        <v>4206</v>
      </c>
      <c r="L77" s="360" t="s">
        <v>4597</v>
      </c>
      <c r="M77" s="360" t="s">
        <v>4598</v>
      </c>
    </row>
    <row r="78" spans="2:13" ht="53.25" x14ac:dyDescent="0.15">
      <c r="B78" s="359" t="s">
        <v>4599</v>
      </c>
      <c r="C78" s="360" t="s">
        <v>4198</v>
      </c>
      <c r="D78" s="360" t="s">
        <v>4600</v>
      </c>
      <c r="E78" s="359" t="s">
        <v>4601</v>
      </c>
      <c r="F78" s="361" t="s">
        <v>4201</v>
      </c>
      <c r="G78" s="360" t="s">
        <v>1568</v>
      </c>
      <c r="H78" s="360" t="s">
        <v>4223</v>
      </c>
      <c r="I78" s="362" t="s">
        <v>4602</v>
      </c>
      <c r="J78" s="360" t="s">
        <v>4596</v>
      </c>
      <c r="K78" s="360" t="s">
        <v>4206</v>
      </c>
      <c r="L78" s="360" t="s">
        <v>4603</v>
      </c>
      <c r="M78" s="360" t="s">
        <v>4604</v>
      </c>
    </row>
    <row r="79" spans="2:13" ht="53.25" x14ac:dyDescent="0.15">
      <c r="B79" s="359" t="s">
        <v>4605</v>
      </c>
      <c r="C79" s="360" t="s">
        <v>4210</v>
      </c>
      <c r="D79" s="360" t="s">
        <v>4606</v>
      </c>
      <c r="E79" s="359" t="s">
        <v>4607</v>
      </c>
      <c r="F79" s="361" t="s">
        <v>4201</v>
      </c>
      <c r="G79" s="360" t="s">
        <v>1568</v>
      </c>
      <c r="H79" s="360" t="s">
        <v>4223</v>
      </c>
      <c r="I79" s="362" t="s">
        <v>4608</v>
      </c>
      <c r="J79" s="360" t="s">
        <v>4596</v>
      </c>
      <c r="K79" s="360" t="s">
        <v>4206</v>
      </c>
      <c r="L79" s="360" t="s">
        <v>4609</v>
      </c>
      <c r="M79" s="360" t="s">
        <v>4604</v>
      </c>
    </row>
    <row r="80" spans="2:13" ht="53.25" x14ac:dyDescent="0.15">
      <c r="B80" s="359" t="s">
        <v>4610</v>
      </c>
      <c r="C80" s="360" t="s">
        <v>4210</v>
      </c>
      <c r="D80" s="360" t="s">
        <v>4611</v>
      </c>
      <c r="E80" s="359" t="s">
        <v>4612</v>
      </c>
      <c r="F80" s="361" t="s">
        <v>4201</v>
      </c>
      <c r="G80" s="360" t="s">
        <v>1568</v>
      </c>
      <c r="H80" s="360" t="s">
        <v>4302</v>
      </c>
      <c r="I80" s="362" t="s">
        <v>4613</v>
      </c>
      <c r="J80" s="360" t="s">
        <v>4596</v>
      </c>
      <c r="K80" s="360" t="s">
        <v>4206</v>
      </c>
      <c r="L80" s="360"/>
      <c r="M80" s="360" t="s">
        <v>4604</v>
      </c>
    </row>
    <row r="81" spans="2:13" ht="53.25" x14ac:dyDescent="0.15">
      <c r="B81" s="359" t="s">
        <v>4614</v>
      </c>
      <c r="C81" s="360" t="s">
        <v>4210</v>
      </c>
      <c r="D81" s="360" t="s">
        <v>4615</v>
      </c>
      <c r="E81" s="359" t="s">
        <v>4616</v>
      </c>
      <c r="F81" s="361" t="s">
        <v>4334</v>
      </c>
      <c r="G81" s="360" t="s">
        <v>1568</v>
      </c>
      <c r="H81" s="360" t="s">
        <v>4302</v>
      </c>
      <c r="I81" s="362" t="s">
        <v>4617</v>
      </c>
      <c r="J81" s="360" t="s">
        <v>4596</v>
      </c>
      <c r="K81" s="360" t="s">
        <v>4206</v>
      </c>
      <c r="L81" s="360" t="s">
        <v>4618</v>
      </c>
      <c r="M81" s="360" t="s">
        <v>4604</v>
      </c>
    </row>
    <row r="82" spans="2:13" ht="53.25" x14ac:dyDescent="0.15">
      <c r="B82" s="359" t="s">
        <v>4619</v>
      </c>
      <c r="C82" s="360" t="s">
        <v>4210</v>
      </c>
      <c r="D82" s="360" t="s">
        <v>4620</v>
      </c>
      <c r="E82" s="359" t="s">
        <v>4621</v>
      </c>
      <c r="F82" s="361" t="s">
        <v>4334</v>
      </c>
      <c r="G82" s="360" t="s">
        <v>1568</v>
      </c>
      <c r="H82" s="360" t="s">
        <v>4302</v>
      </c>
      <c r="I82" s="362" t="s">
        <v>4622</v>
      </c>
      <c r="J82" s="360" t="s">
        <v>4446</v>
      </c>
      <c r="K82" s="360" t="s">
        <v>4206</v>
      </c>
      <c r="L82" s="360" t="s">
        <v>4623</v>
      </c>
      <c r="M82" s="360" t="s">
        <v>4604</v>
      </c>
    </row>
    <row r="83" spans="2:13" ht="53.25" x14ac:dyDescent="0.15">
      <c r="B83" s="359" t="s">
        <v>4624</v>
      </c>
      <c r="C83" s="360" t="s">
        <v>4210</v>
      </c>
      <c r="D83" s="360" t="s">
        <v>4625</v>
      </c>
      <c r="E83" s="359" t="s">
        <v>4626</v>
      </c>
      <c r="F83" s="361" t="s">
        <v>4201</v>
      </c>
      <c r="G83" s="360" t="s">
        <v>4262</v>
      </c>
      <c r="H83" s="360" t="s">
        <v>4258</v>
      </c>
      <c r="I83" s="362" t="s">
        <v>4627</v>
      </c>
      <c r="J83" s="360" t="s">
        <v>4276</v>
      </c>
      <c r="K83" s="360" t="s">
        <v>4206</v>
      </c>
      <c r="L83" s="360" t="s">
        <v>4234</v>
      </c>
      <c r="M83" s="360" t="s">
        <v>4604</v>
      </c>
    </row>
    <row r="84" spans="2:13" ht="53.25" x14ac:dyDescent="0.15">
      <c r="B84" s="359" t="s">
        <v>4628</v>
      </c>
      <c r="C84" s="360" t="s">
        <v>4210</v>
      </c>
      <c r="D84" s="360" t="s">
        <v>4629</v>
      </c>
      <c r="E84" s="359" t="s">
        <v>4630</v>
      </c>
      <c r="F84" s="361" t="s">
        <v>4201</v>
      </c>
      <c r="G84" s="360" t="s">
        <v>1568</v>
      </c>
      <c r="H84" s="360"/>
      <c r="I84" s="362" t="s">
        <v>4631</v>
      </c>
      <c r="J84" s="360" t="s">
        <v>4574</v>
      </c>
      <c r="K84" s="360" t="s">
        <v>4206</v>
      </c>
      <c r="L84" s="360"/>
      <c r="M84" s="360" t="s">
        <v>4632</v>
      </c>
    </row>
    <row r="85" spans="2:13" ht="53.25" x14ac:dyDescent="0.15">
      <c r="B85" s="359" t="s">
        <v>4633</v>
      </c>
      <c r="C85" s="360" t="s">
        <v>4198</v>
      </c>
      <c r="D85" s="360" t="s">
        <v>4634</v>
      </c>
      <c r="E85" s="359" t="s">
        <v>4635</v>
      </c>
      <c r="F85" s="361" t="s">
        <v>4201</v>
      </c>
      <c r="G85" s="360" t="s">
        <v>1568</v>
      </c>
      <c r="H85" s="360" t="s">
        <v>4223</v>
      </c>
      <c r="I85" s="362" t="s">
        <v>4602</v>
      </c>
      <c r="J85" s="360" t="s">
        <v>4596</v>
      </c>
      <c r="K85" s="360" t="s">
        <v>4206</v>
      </c>
      <c r="L85" s="360" t="s">
        <v>4636</v>
      </c>
      <c r="M85" s="360" t="s">
        <v>4637</v>
      </c>
    </row>
    <row r="86" spans="2:13" ht="53.25" x14ac:dyDescent="0.15">
      <c r="B86" s="359" t="s">
        <v>4638</v>
      </c>
      <c r="C86" s="360" t="s">
        <v>4198</v>
      </c>
      <c r="D86" s="360" t="s">
        <v>4639</v>
      </c>
      <c r="E86" s="359" t="s">
        <v>4640</v>
      </c>
      <c r="F86" s="361" t="s">
        <v>4334</v>
      </c>
      <c r="G86" s="360" t="s">
        <v>4641</v>
      </c>
      <c r="H86" s="360" t="s">
        <v>4223</v>
      </c>
      <c r="I86" s="362" t="s">
        <v>4642</v>
      </c>
      <c r="J86" s="360" t="s">
        <v>4643</v>
      </c>
      <c r="K86" s="360" t="s">
        <v>4206</v>
      </c>
      <c r="L86" s="360" t="s">
        <v>4644</v>
      </c>
      <c r="M86" s="360" t="s">
        <v>4645</v>
      </c>
    </row>
    <row r="87" spans="2:13" ht="63.75" x14ac:dyDescent="0.15">
      <c r="B87" s="359" t="s">
        <v>4646</v>
      </c>
      <c r="C87" s="360" t="s">
        <v>4210</v>
      </c>
      <c r="D87" s="360" t="s">
        <v>4647</v>
      </c>
      <c r="E87" s="359" t="s">
        <v>4648</v>
      </c>
      <c r="F87" s="361" t="s">
        <v>4201</v>
      </c>
      <c r="G87" s="360" t="s">
        <v>4282</v>
      </c>
      <c r="H87" s="360" t="s">
        <v>4313</v>
      </c>
      <c r="I87" s="362" t="s">
        <v>4649</v>
      </c>
      <c r="J87" s="360" t="s">
        <v>4479</v>
      </c>
      <c r="K87" s="360" t="s">
        <v>4206</v>
      </c>
      <c r="L87" s="360" t="s">
        <v>4447</v>
      </c>
      <c r="M87" s="360" t="s">
        <v>4650</v>
      </c>
    </row>
    <row r="88" spans="2:13" ht="53.25" x14ac:dyDescent="0.15">
      <c r="B88" s="359" t="s">
        <v>4651</v>
      </c>
      <c r="C88" s="360" t="s">
        <v>4210</v>
      </c>
      <c r="D88" s="360" t="s">
        <v>4652</v>
      </c>
      <c r="E88" s="359" t="s">
        <v>4653</v>
      </c>
      <c r="F88" s="361" t="s">
        <v>4334</v>
      </c>
      <c r="G88" s="360" t="s">
        <v>4282</v>
      </c>
      <c r="H88" s="360" t="s">
        <v>4223</v>
      </c>
      <c r="I88" s="362" t="s">
        <v>4642</v>
      </c>
      <c r="J88" s="360" t="s">
        <v>4643</v>
      </c>
      <c r="K88" s="360" t="s">
        <v>4206</v>
      </c>
      <c r="L88" s="360" t="s">
        <v>4654</v>
      </c>
      <c r="M88" s="360" t="s">
        <v>4655</v>
      </c>
    </row>
    <row r="89" spans="2:13" ht="53.25" x14ac:dyDescent="0.15">
      <c r="B89" s="359" t="s">
        <v>4656</v>
      </c>
      <c r="C89" s="360" t="s">
        <v>4210</v>
      </c>
      <c r="D89" s="360" t="s">
        <v>4657</v>
      </c>
      <c r="E89" s="359" t="s">
        <v>4658</v>
      </c>
      <c r="F89" s="361" t="s">
        <v>4201</v>
      </c>
      <c r="G89" s="360" t="s">
        <v>4282</v>
      </c>
      <c r="H89" s="360" t="s">
        <v>4342</v>
      </c>
      <c r="I89" s="362" t="s">
        <v>4659</v>
      </c>
      <c r="J89" s="360" t="s">
        <v>4284</v>
      </c>
      <c r="K89" s="360" t="s">
        <v>4206</v>
      </c>
      <c r="L89" s="360" t="s">
        <v>4660</v>
      </c>
      <c r="M89" s="360" t="s">
        <v>4661</v>
      </c>
    </row>
    <row r="90" spans="2:13" ht="53.25" x14ac:dyDescent="0.15">
      <c r="B90" s="359" t="s">
        <v>4662</v>
      </c>
      <c r="C90" s="360" t="s">
        <v>4210</v>
      </c>
      <c r="D90" s="360" t="s">
        <v>4663</v>
      </c>
      <c r="E90" s="359" t="s">
        <v>4664</v>
      </c>
      <c r="F90" s="361" t="s">
        <v>4334</v>
      </c>
      <c r="G90" s="360" t="s">
        <v>4282</v>
      </c>
      <c r="H90" s="360" t="s">
        <v>4313</v>
      </c>
      <c r="I90" s="362" t="s">
        <v>4665</v>
      </c>
      <c r="J90" s="360" t="s">
        <v>4479</v>
      </c>
      <c r="K90" s="360" t="s">
        <v>4206</v>
      </c>
      <c r="L90" s="360" t="s">
        <v>4666</v>
      </c>
      <c r="M90" s="360" t="s">
        <v>4661</v>
      </c>
    </row>
    <row r="91" spans="2:13" ht="84" x14ac:dyDescent="0.15">
      <c r="B91" s="359" t="s">
        <v>4667</v>
      </c>
      <c r="C91" s="360" t="s">
        <v>4198</v>
      </c>
      <c r="D91" s="360" t="s">
        <v>4668</v>
      </c>
      <c r="E91" s="359" t="s">
        <v>4669</v>
      </c>
      <c r="F91" s="361" t="s">
        <v>4334</v>
      </c>
      <c r="G91" s="360" t="s">
        <v>4262</v>
      </c>
      <c r="H91" s="360" t="s">
        <v>4223</v>
      </c>
      <c r="I91" s="362" t="s">
        <v>4670</v>
      </c>
      <c r="J91" s="360" t="s">
        <v>4671</v>
      </c>
      <c r="K91" s="360" t="s">
        <v>4206</v>
      </c>
      <c r="L91" s="360" t="s">
        <v>4672</v>
      </c>
      <c r="M91" s="360" t="s">
        <v>4673</v>
      </c>
    </row>
    <row r="92" spans="2:13" ht="53.25" x14ac:dyDescent="0.15">
      <c r="B92" s="359" t="s">
        <v>4674</v>
      </c>
      <c r="C92" s="360" t="s">
        <v>4198</v>
      </c>
      <c r="D92" s="360" t="s">
        <v>4675</v>
      </c>
      <c r="E92" s="359" t="s">
        <v>4676</v>
      </c>
      <c r="F92" s="361" t="s">
        <v>4201</v>
      </c>
      <c r="G92" s="360" t="s">
        <v>4282</v>
      </c>
      <c r="H92" s="360" t="s">
        <v>4223</v>
      </c>
      <c r="I92" s="362" t="s">
        <v>4677</v>
      </c>
      <c r="J92" s="360" t="s">
        <v>4678</v>
      </c>
      <c r="K92" s="360" t="s">
        <v>4206</v>
      </c>
      <c r="L92" s="360" t="s">
        <v>4679</v>
      </c>
      <c r="M92" s="360" t="s">
        <v>4680</v>
      </c>
    </row>
    <row r="93" spans="2:13" ht="53.25" x14ac:dyDescent="0.15">
      <c r="B93" s="359" t="s">
        <v>4681</v>
      </c>
      <c r="C93" s="360" t="s">
        <v>4210</v>
      </c>
      <c r="D93" s="360" t="s">
        <v>4682</v>
      </c>
      <c r="E93" s="359" t="s">
        <v>4683</v>
      </c>
      <c r="F93" s="361" t="s">
        <v>4201</v>
      </c>
      <c r="G93" s="360" t="s">
        <v>4282</v>
      </c>
      <c r="H93" s="360" t="s">
        <v>4313</v>
      </c>
      <c r="I93" s="362" t="s">
        <v>4684</v>
      </c>
      <c r="J93" s="360" t="s">
        <v>4458</v>
      </c>
      <c r="K93" s="360" t="s">
        <v>4206</v>
      </c>
      <c r="L93" s="360" t="s">
        <v>4685</v>
      </c>
      <c r="M93" s="360" t="s">
        <v>4686</v>
      </c>
    </row>
    <row r="94" spans="2:13" ht="53.25" x14ac:dyDescent="0.15">
      <c r="B94" s="359" t="s">
        <v>4687</v>
      </c>
      <c r="C94" s="360" t="s">
        <v>4210</v>
      </c>
      <c r="D94" s="360" t="s">
        <v>4688</v>
      </c>
      <c r="E94" s="359" t="s">
        <v>4689</v>
      </c>
      <c r="F94" s="361" t="s">
        <v>4201</v>
      </c>
      <c r="G94" s="360" t="s">
        <v>4282</v>
      </c>
      <c r="H94" s="360" t="s">
        <v>4313</v>
      </c>
      <c r="I94" s="362" t="s">
        <v>4690</v>
      </c>
      <c r="J94" s="360" t="s">
        <v>4643</v>
      </c>
      <c r="K94" s="360" t="s">
        <v>4206</v>
      </c>
      <c r="L94" s="360" t="s">
        <v>4691</v>
      </c>
      <c r="M94" s="360" t="s">
        <v>4692</v>
      </c>
    </row>
    <row r="95" spans="2:13" ht="53.25" x14ac:dyDescent="0.15">
      <c r="B95" s="359" t="s">
        <v>4693</v>
      </c>
      <c r="C95" s="360" t="s">
        <v>4210</v>
      </c>
      <c r="D95" s="360" t="s">
        <v>4694</v>
      </c>
      <c r="E95" s="359" t="s">
        <v>4695</v>
      </c>
      <c r="F95" s="361" t="s">
        <v>4201</v>
      </c>
      <c r="G95" s="360" t="s">
        <v>4282</v>
      </c>
      <c r="H95" s="360" t="s">
        <v>4342</v>
      </c>
      <c r="I95" s="362" t="s">
        <v>4696</v>
      </c>
      <c r="J95" s="360" t="s">
        <v>4233</v>
      </c>
      <c r="K95" s="360" t="s">
        <v>4206</v>
      </c>
      <c r="L95" s="360" t="s">
        <v>4234</v>
      </c>
      <c r="M95" s="360" t="s">
        <v>4680</v>
      </c>
    </row>
    <row r="96" spans="2:13" ht="53.25" x14ac:dyDescent="0.15">
      <c r="B96" s="359" t="s">
        <v>4697</v>
      </c>
      <c r="C96" s="360" t="s">
        <v>4198</v>
      </c>
      <c r="D96" s="360" t="s">
        <v>4698</v>
      </c>
      <c r="E96" s="359" t="s">
        <v>4699</v>
      </c>
      <c r="F96" s="361" t="s">
        <v>4201</v>
      </c>
      <c r="G96" s="360" t="s">
        <v>4262</v>
      </c>
      <c r="H96" s="360" t="s">
        <v>4313</v>
      </c>
      <c r="I96" s="362" t="s">
        <v>4700</v>
      </c>
      <c r="J96" s="360" t="s">
        <v>4701</v>
      </c>
      <c r="K96" s="360" t="s">
        <v>4206</v>
      </c>
      <c r="L96" s="360" t="s">
        <v>4702</v>
      </c>
      <c r="M96" s="360" t="s">
        <v>4703</v>
      </c>
    </row>
    <row r="97" spans="2:13" ht="53.25" x14ac:dyDescent="0.15">
      <c r="B97" s="359" t="s">
        <v>4704</v>
      </c>
      <c r="C97" s="360" t="s">
        <v>4210</v>
      </c>
      <c r="D97" s="360" t="s">
        <v>4705</v>
      </c>
      <c r="E97" s="359" t="s">
        <v>4706</v>
      </c>
      <c r="F97" s="361" t="s">
        <v>4201</v>
      </c>
      <c r="G97" s="360" t="s">
        <v>4262</v>
      </c>
      <c r="H97" s="360" t="s">
        <v>4342</v>
      </c>
      <c r="I97" s="362" t="s">
        <v>4707</v>
      </c>
      <c r="J97" s="360" t="s">
        <v>4708</v>
      </c>
      <c r="K97" s="360" t="s">
        <v>4206</v>
      </c>
      <c r="L97" s="360"/>
      <c r="M97" s="360" t="s">
        <v>4703</v>
      </c>
    </row>
    <row r="98" spans="2:13" ht="53.25" x14ac:dyDescent="0.15">
      <c r="B98" s="359" t="s">
        <v>4709</v>
      </c>
      <c r="C98" s="360" t="s">
        <v>4210</v>
      </c>
      <c r="D98" s="360" t="s">
        <v>4710</v>
      </c>
      <c r="E98" s="359" t="s">
        <v>4711</v>
      </c>
      <c r="F98" s="361" t="s">
        <v>4201</v>
      </c>
      <c r="G98" s="360" t="s">
        <v>4262</v>
      </c>
      <c r="H98" s="360" t="s">
        <v>4313</v>
      </c>
      <c r="I98" s="362" t="s">
        <v>4712</v>
      </c>
      <c r="J98" s="360" t="s">
        <v>4713</v>
      </c>
      <c r="K98" s="360" t="s">
        <v>4206</v>
      </c>
      <c r="L98" s="360" t="s">
        <v>4714</v>
      </c>
      <c r="M98" s="360" t="s">
        <v>4703</v>
      </c>
    </row>
    <row r="99" spans="2:13" ht="53.25" x14ac:dyDescent="0.15">
      <c r="B99" s="359" t="s">
        <v>4715</v>
      </c>
      <c r="C99" s="360" t="s">
        <v>4210</v>
      </c>
      <c r="D99" s="360" t="s">
        <v>4716</v>
      </c>
      <c r="E99" s="359" t="s">
        <v>4717</v>
      </c>
      <c r="F99" s="361" t="s">
        <v>4201</v>
      </c>
      <c r="G99" s="360" t="s">
        <v>4262</v>
      </c>
      <c r="H99" s="360" t="s">
        <v>4302</v>
      </c>
      <c r="I99" s="362" t="s">
        <v>4718</v>
      </c>
      <c r="J99" s="360" t="s">
        <v>4701</v>
      </c>
      <c r="K99" s="360" t="s">
        <v>4206</v>
      </c>
      <c r="L99" s="360" t="s">
        <v>4719</v>
      </c>
      <c r="M99" s="360" t="s">
        <v>4703</v>
      </c>
    </row>
    <row r="100" spans="2:13" ht="53.25" x14ac:dyDescent="0.15">
      <c r="B100" s="359" t="s">
        <v>4720</v>
      </c>
      <c r="C100" s="360" t="s">
        <v>4198</v>
      </c>
      <c r="D100" s="360" t="s">
        <v>4721</v>
      </c>
      <c r="E100" s="359" t="s">
        <v>4722</v>
      </c>
      <c r="F100" s="361" t="s">
        <v>4201</v>
      </c>
      <c r="G100" s="360" t="s">
        <v>1568</v>
      </c>
      <c r="H100" s="360" t="s">
        <v>4223</v>
      </c>
      <c r="I100" s="362" t="s">
        <v>4723</v>
      </c>
      <c r="J100" s="360" t="s">
        <v>4724</v>
      </c>
      <c r="K100" s="360" t="s">
        <v>4206</v>
      </c>
      <c r="L100" s="360" t="s">
        <v>4725</v>
      </c>
      <c r="M100" s="360" t="s">
        <v>4726</v>
      </c>
    </row>
    <row r="101" spans="2:13" ht="53.25" x14ac:dyDescent="0.15">
      <c r="B101" s="359" t="s">
        <v>4727</v>
      </c>
      <c r="C101" s="360" t="s">
        <v>4210</v>
      </c>
      <c r="D101" s="360" t="s">
        <v>4728</v>
      </c>
      <c r="E101" s="359" t="s">
        <v>4729</v>
      </c>
      <c r="F101" s="361" t="s">
        <v>4201</v>
      </c>
      <c r="G101" s="360" t="s">
        <v>1568</v>
      </c>
      <c r="H101" s="360" t="s">
        <v>4313</v>
      </c>
      <c r="I101" s="362" t="s">
        <v>4730</v>
      </c>
      <c r="J101" s="360" t="s">
        <v>4548</v>
      </c>
      <c r="K101" s="360" t="s">
        <v>4206</v>
      </c>
      <c r="L101" s="360" t="s">
        <v>4731</v>
      </c>
      <c r="M101" s="360" t="s">
        <v>4726</v>
      </c>
    </row>
    <row r="102" spans="2:13" ht="53.25" x14ac:dyDescent="0.15">
      <c r="B102" s="359" t="s">
        <v>4732</v>
      </c>
      <c r="C102" s="360" t="s">
        <v>4210</v>
      </c>
      <c r="D102" s="360" t="s">
        <v>4733</v>
      </c>
      <c r="E102" s="359" t="s">
        <v>4734</v>
      </c>
      <c r="F102" s="361" t="s">
        <v>4201</v>
      </c>
      <c r="G102" s="360" t="s">
        <v>1568</v>
      </c>
      <c r="H102" s="360" t="s">
        <v>4203</v>
      </c>
      <c r="I102" s="362" t="s">
        <v>4735</v>
      </c>
      <c r="J102" s="360" t="s">
        <v>4736</v>
      </c>
      <c r="K102" s="360" t="s">
        <v>4206</v>
      </c>
      <c r="L102" s="360" t="s">
        <v>4737</v>
      </c>
      <c r="M102" s="360" t="s">
        <v>4726</v>
      </c>
    </row>
    <row r="103" spans="2:13" ht="53.25" x14ac:dyDescent="0.15">
      <c r="B103" s="359" t="s">
        <v>4738</v>
      </c>
      <c r="C103" s="360" t="s">
        <v>4210</v>
      </c>
      <c r="D103" s="360" t="s">
        <v>4739</v>
      </c>
      <c r="E103" s="359" t="s">
        <v>4740</v>
      </c>
      <c r="F103" s="361" t="s">
        <v>4201</v>
      </c>
      <c r="G103" s="360" t="s">
        <v>1568</v>
      </c>
      <c r="H103" s="360" t="s">
        <v>4313</v>
      </c>
      <c r="I103" s="362" t="s">
        <v>4484</v>
      </c>
      <c r="J103" s="360" t="s">
        <v>4479</v>
      </c>
      <c r="K103" s="360" t="s">
        <v>4206</v>
      </c>
      <c r="L103" s="360"/>
      <c r="M103" s="360" t="s">
        <v>4741</v>
      </c>
    </row>
    <row r="104" spans="2:13" ht="53.25" x14ac:dyDescent="0.15">
      <c r="B104" s="359" t="s">
        <v>4742</v>
      </c>
      <c r="C104" s="360" t="s">
        <v>4198</v>
      </c>
      <c r="D104" s="360" t="s">
        <v>4743</v>
      </c>
      <c r="E104" s="359" t="s">
        <v>4744</v>
      </c>
      <c r="F104" s="361" t="s">
        <v>4201</v>
      </c>
      <c r="G104" s="360" t="s">
        <v>4262</v>
      </c>
      <c r="H104" s="360" t="s">
        <v>4223</v>
      </c>
      <c r="I104" s="362" t="s">
        <v>4745</v>
      </c>
      <c r="J104" s="360" t="s">
        <v>4746</v>
      </c>
      <c r="K104" s="360" t="s">
        <v>4206</v>
      </c>
      <c r="L104" s="360"/>
      <c r="M104" s="360" t="s">
        <v>4747</v>
      </c>
    </row>
    <row r="105" spans="2:13" ht="53.25" x14ac:dyDescent="0.15">
      <c r="B105" s="359" t="s">
        <v>4748</v>
      </c>
      <c r="C105" s="360" t="s">
        <v>4210</v>
      </c>
      <c r="D105" s="360" t="s">
        <v>4749</v>
      </c>
      <c r="E105" s="359" t="s">
        <v>4750</v>
      </c>
      <c r="F105" s="361" t="s">
        <v>4201</v>
      </c>
      <c r="G105" s="360" t="s">
        <v>4262</v>
      </c>
      <c r="H105" s="360" t="s">
        <v>4302</v>
      </c>
      <c r="I105" s="362" t="s">
        <v>4751</v>
      </c>
      <c r="J105" s="360" t="s">
        <v>4752</v>
      </c>
      <c r="K105" s="360" t="s">
        <v>4206</v>
      </c>
      <c r="L105" s="360" t="s">
        <v>4753</v>
      </c>
      <c r="M105" s="360" t="s">
        <v>4703</v>
      </c>
    </row>
    <row r="106" spans="2:13" ht="53.25" x14ac:dyDescent="0.15">
      <c r="B106" s="359" t="s">
        <v>4754</v>
      </c>
      <c r="C106" s="360" t="s">
        <v>4210</v>
      </c>
      <c r="D106" s="360" t="s">
        <v>4755</v>
      </c>
      <c r="E106" s="359" t="s">
        <v>4756</v>
      </c>
      <c r="F106" s="361" t="s">
        <v>4201</v>
      </c>
      <c r="G106" s="360" t="s">
        <v>4262</v>
      </c>
      <c r="H106" s="360" t="s">
        <v>4258</v>
      </c>
      <c r="I106" s="362" t="s">
        <v>4757</v>
      </c>
      <c r="J106" s="360" t="s">
        <v>4276</v>
      </c>
      <c r="K106" s="360" t="s">
        <v>4206</v>
      </c>
      <c r="L106" s="360" t="s">
        <v>4226</v>
      </c>
      <c r="M106" s="360" t="s">
        <v>4758</v>
      </c>
    </row>
  </sheetData>
  <autoFilter ref="B4:M106" xr:uid="{B72055FA-2988-4EFC-9BA0-FF179AA976FA}"/>
  <hyperlinks>
    <hyperlink ref="B5" r:id="rId1" xr:uid="{3A436000-9702-4EB7-9977-22588AD68BCF}"/>
    <hyperlink ref="E5" r:id="rId2" xr:uid="{C11CEDFA-11B1-4DD3-927A-8C25535ABF62}"/>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DFE2F-96CB-4E79-AA0E-A644BE0E6E7B}">
  <dimension ref="B2"/>
  <sheetViews>
    <sheetView showGridLines="0" zoomScale="85" zoomScaleNormal="85" workbookViewId="0">
      <selection activeCell="N8" sqref="N8"/>
    </sheetView>
  </sheetViews>
  <sheetFormatPr defaultColWidth="11.43359375" defaultRowHeight="15" x14ac:dyDescent="0.2"/>
  <sheetData>
    <row r="2" spans="2:2" x14ac:dyDescent="0.2">
      <c r="B2" s="3" t="s">
        <v>17</v>
      </c>
    </row>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bat Document" shapeId="32769" r:id="rId4">
          <objectPr defaultSize="0" r:id="rId5">
            <anchor moveWithCells="1">
              <from>
                <xdr:col>1</xdr:col>
                <xdr:colOff>38100</xdr:colOff>
                <xdr:row>2</xdr:row>
                <xdr:rowOff>60960</xdr:rowOff>
              </from>
              <to>
                <xdr:col>8</xdr:col>
                <xdr:colOff>533400</xdr:colOff>
                <xdr:row>41</xdr:row>
                <xdr:rowOff>175260</xdr:rowOff>
              </to>
            </anchor>
          </objectPr>
        </oleObject>
      </mc:Choice>
      <mc:Fallback>
        <oleObject progId="Acrobat Document" shapeId="33793" r:id="rId4"/>
      </mc:Fallback>
    </mc:AlternateContent>
  </oleObjec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B6130-1FB4-44A8-B9FA-6FEE930C463A}">
  <dimension ref="B2"/>
  <sheetViews>
    <sheetView showGridLines="0" zoomScale="85" zoomScaleNormal="85" workbookViewId="0">
      <selection activeCell="B2" sqref="B2"/>
    </sheetView>
  </sheetViews>
  <sheetFormatPr defaultColWidth="11.43359375" defaultRowHeight="15" x14ac:dyDescent="0.2"/>
  <sheetData>
    <row r="2" spans="2:2" x14ac:dyDescent="0.2">
      <c r="B2" s="3" t="s">
        <v>18</v>
      </c>
    </row>
  </sheetData>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F41AF-B6A6-4558-8EE2-45F7A27A8B03}">
  <dimension ref="B2:J223"/>
  <sheetViews>
    <sheetView showGridLines="0" topLeftCell="A57" zoomScale="85" zoomScaleNormal="85" workbookViewId="0">
      <selection activeCell="G64" sqref="G64"/>
    </sheetView>
  </sheetViews>
  <sheetFormatPr defaultColWidth="11.43359375" defaultRowHeight="15.75" x14ac:dyDescent="0.25"/>
  <cols>
    <col min="1" max="1" width="5.51171875" style="261" customWidth="1"/>
    <col min="2" max="5" width="11.43359375" style="261"/>
    <col min="6" max="6" width="21.65625" style="261" bestFit="1" customWidth="1"/>
    <col min="7" max="7" width="37.39453125" style="261" bestFit="1" customWidth="1"/>
    <col min="8" max="8" width="34.16796875" style="261" customWidth="1"/>
    <col min="9" max="9" width="62.6875" style="261" bestFit="1" customWidth="1"/>
    <col min="10" max="16384" width="11.43359375" style="261"/>
  </cols>
  <sheetData>
    <row r="2" spans="2:10" ht="14.25" x14ac:dyDescent="0.15">
      <c r="B2" s="3" t="s">
        <v>4759</v>
      </c>
    </row>
    <row r="3" spans="2:10" ht="15" thickBot="1" x14ac:dyDescent="0.2"/>
    <row r="4" spans="2:10" ht="14.25" x14ac:dyDescent="0.15">
      <c r="B4" s="456" t="s">
        <v>4760</v>
      </c>
      <c r="C4" s="458" t="s">
        <v>4761</v>
      </c>
      <c r="D4" s="458" t="s">
        <v>4762</v>
      </c>
      <c r="E4" s="458" t="s">
        <v>4763</v>
      </c>
      <c r="F4" s="458" t="s">
        <v>4764</v>
      </c>
      <c r="G4" s="458" t="s">
        <v>4765</v>
      </c>
      <c r="H4" s="458"/>
      <c r="I4" s="458" t="s">
        <v>4766</v>
      </c>
      <c r="J4" s="460" t="s">
        <v>4767</v>
      </c>
    </row>
    <row r="5" spans="2:10" ht="15" thickBot="1" x14ac:dyDescent="0.2">
      <c r="B5" s="457"/>
      <c r="C5" s="459"/>
      <c r="D5" s="459"/>
      <c r="E5" s="459"/>
      <c r="F5" s="459"/>
      <c r="G5" s="251" t="s">
        <v>4768</v>
      </c>
      <c r="H5" s="251" t="s">
        <v>4769</v>
      </c>
      <c r="I5" s="459"/>
      <c r="J5" s="461"/>
    </row>
    <row r="6" spans="2:10" ht="14.25" x14ac:dyDescent="0.15">
      <c r="B6" s="491" t="s">
        <v>4770</v>
      </c>
      <c r="C6" s="475" t="s">
        <v>4771</v>
      </c>
      <c r="D6" s="476">
        <v>43991</v>
      </c>
      <c r="E6" s="475" t="s">
        <v>1594</v>
      </c>
      <c r="F6" s="475" t="s">
        <v>4772</v>
      </c>
      <c r="G6" s="271" t="s">
        <v>4773</v>
      </c>
      <c r="H6" s="271" t="s">
        <v>4774</v>
      </c>
      <c r="I6" s="477" t="s">
        <v>4775</v>
      </c>
      <c r="J6" s="478"/>
    </row>
    <row r="7" spans="2:10" ht="14.25" x14ac:dyDescent="0.15">
      <c r="B7" s="492"/>
      <c r="C7" s="464"/>
      <c r="D7" s="466"/>
      <c r="E7" s="464"/>
      <c r="F7" s="464"/>
      <c r="G7" s="271" t="s">
        <v>4776</v>
      </c>
      <c r="H7" s="271" t="s">
        <v>4777</v>
      </c>
      <c r="I7" s="140" t="s">
        <v>4778</v>
      </c>
      <c r="J7" s="252" t="s">
        <v>4779</v>
      </c>
    </row>
    <row r="8" spans="2:10" ht="14.25" x14ac:dyDescent="0.15">
      <c r="B8" s="492"/>
      <c r="C8" s="464"/>
      <c r="D8" s="466"/>
      <c r="E8" s="464"/>
      <c r="F8" s="464"/>
      <c r="G8" s="272"/>
      <c r="H8" s="272"/>
      <c r="I8" s="140" t="s">
        <v>4780</v>
      </c>
      <c r="J8" s="252" t="s">
        <v>4781</v>
      </c>
    </row>
    <row r="9" spans="2:10" ht="15" thickBot="1" x14ac:dyDescent="0.2">
      <c r="B9" s="492"/>
      <c r="C9" s="464"/>
      <c r="D9" s="466"/>
      <c r="E9" s="464"/>
      <c r="F9" s="464"/>
      <c r="G9" s="272"/>
      <c r="H9" s="272"/>
      <c r="I9" s="140" t="s">
        <v>4782</v>
      </c>
      <c r="J9" s="252" t="s">
        <v>4783</v>
      </c>
    </row>
    <row r="10" spans="2:10" ht="14.25" x14ac:dyDescent="0.15">
      <c r="B10" s="492"/>
      <c r="C10" s="464"/>
      <c r="D10" s="466"/>
      <c r="E10" s="464"/>
      <c r="F10" s="464"/>
      <c r="G10" s="140"/>
      <c r="H10" s="140"/>
      <c r="I10" s="494" t="s">
        <v>4784</v>
      </c>
      <c r="J10" s="495"/>
    </row>
    <row r="11" spans="2:10" ht="14.25" x14ac:dyDescent="0.15">
      <c r="B11" s="492"/>
      <c r="C11" s="464"/>
      <c r="D11" s="466"/>
      <c r="E11" s="464"/>
      <c r="F11" s="464"/>
      <c r="G11" s="140"/>
      <c r="H11" s="140"/>
      <c r="I11" s="272" t="s">
        <v>4785</v>
      </c>
      <c r="J11" s="496" t="s">
        <v>4786</v>
      </c>
    </row>
    <row r="12" spans="2:10" ht="15" thickBot="1" x14ac:dyDescent="0.2">
      <c r="B12" s="492"/>
      <c r="C12" s="464"/>
      <c r="D12" s="466"/>
      <c r="E12" s="464"/>
      <c r="F12" s="464"/>
      <c r="G12" s="140"/>
      <c r="H12" s="140"/>
      <c r="I12" s="272" t="s">
        <v>4787</v>
      </c>
      <c r="J12" s="496"/>
    </row>
    <row r="13" spans="2:10" ht="14.25" x14ac:dyDescent="0.15">
      <c r="B13" s="492"/>
      <c r="C13" s="464"/>
      <c r="D13" s="466"/>
      <c r="E13" s="464"/>
      <c r="F13" s="464"/>
      <c r="G13" s="140"/>
      <c r="H13" s="140"/>
      <c r="I13" s="470" t="s">
        <v>4788</v>
      </c>
      <c r="J13" s="471"/>
    </row>
    <row r="14" spans="2:10" ht="14.25" x14ac:dyDescent="0.15">
      <c r="B14" s="492"/>
      <c r="C14" s="464"/>
      <c r="D14" s="466"/>
      <c r="E14" s="464"/>
      <c r="F14" s="464"/>
      <c r="G14" s="140"/>
      <c r="H14" s="140"/>
      <c r="I14" s="140" t="s">
        <v>4789</v>
      </c>
      <c r="J14" s="252" t="s">
        <v>4790</v>
      </c>
    </row>
    <row r="15" spans="2:10" ht="14.25" x14ac:dyDescent="0.15">
      <c r="B15" s="492"/>
      <c r="C15" s="464"/>
      <c r="D15" s="466"/>
      <c r="E15" s="464"/>
      <c r="F15" s="464"/>
      <c r="G15" s="140"/>
      <c r="H15" s="140"/>
      <c r="I15" s="273" t="s">
        <v>4791</v>
      </c>
      <c r="J15" s="252" t="s">
        <v>4792</v>
      </c>
    </row>
    <row r="16" spans="2:10" ht="15" thickBot="1" x14ac:dyDescent="0.2">
      <c r="B16" s="492"/>
      <c r="C16" s="464"/>
      <c r="D16" s="466"/>
      <c r="E16" s="464"/>
      <c r="F16" s="464"/>
      <c r="G16" s="140"/>
      <c r="H16" s="140"/>
      <c r="I16" s="273" t="s">
        <v>4793</v>
      </c>
      <c r="J16" s="252" t="s">
        <v>4794</v>
      </c>
    </row>
    <row r="17" spans="2:10" ht="14.25" x14ac:dyDescent="0.15">
      <c r="B17" s="492"/>
      <c r="C17" s="464"/>
      <c r="D17" s="466"/>
      <c r="E17" s="464"/>
      <c r="F17" s="464"/>
      <c r="G17" s="140"/>
      <c r="H17" s="140"/>
      <c r="I17" s="470" t="s">
        <v>4795</v>
      </c>
      <c r="J17" s="471"/>
    </row>
    <row r="18" spans="2:10" ht="14.25" x14ac:dyDescent="0.15">
      <c r="B18" s="492"/>
      <c r="C18" s="464"/>
      <c r="D18" s="466"/>
      <c r="E18" s="464"/>
      <c r="F18" s="464"/>
      <c r="G18" s="140"/>
      <c r="H18" s="140"/>
      <c r="I18" s="274" t="s">
        <v>4796</v>
      </c>
      <c r="J18" s="263"/>
    </row>
    <row r="19" spans="2:10" ht="14.25" x14ac:dyDescent="0.15">
      <c r="B19" s="492"/>
      <c r="C19" s="464"/>
      <c r="D19" s="466"/>
      <c r="E19" s="464"/>
      <c r="F19" s="464"/>
      <c r="G19" s="140"/>
      <c r="H19" s="140"/>
      <c r="I19" s="140" t="s">
        <v>4797</v>
      </c>
      <c r="J19" s="252" t="s">
        <v>4798</v>
      </c>
    </row>
    <row r="20" spans="2:10" ht="14.25" x14ac:dyDescent="0.15">
      <c r="B20" s="492"/>
      <c r="C20" s="464"/>
      <c r="D20" s="466"/>
      <c r="E20" s="464"/>
      <c r="F20" s="464"/>
      <c r="G20" s="140"/>
      <c r="H20" s="140"/>
      <c r="I20" s="140" t="s">
        <v>4799</v>
      </c>
      <c r="J20" s="252" t="s">
        <v>4800</v>
      </c>
    </row>
    <row r="21" spans="2:10" ht="14.25" x14ac:dyDescent="0.15">
      <c r="B21" s="492"/>
      <c r="C21" s="464"/>
      <c r="D21" s="466"/>
      <c r="E21" s="464"/>
      <c r="F21" s="464"/>
      <c r="G21" s="140"/>
      <c r="H21" s="140"/>
      <c r="I21" s="140" t="s">
        <v>4801</v>
      </c>
      <c r="J21" s="252" t="s">
        <v>4802</v>
      </c>
    </row>
    <row r="22" spans="2:10" ht="14.25" x14ac:dyDescent="0.15">
      <c r="B22" s="492"/>
      <c r="C22" s="464"/>
      <c r="D22" s="466"/>
      <c r="E22" s="464"/>
      <c r="F22" s="464"/>
      <c r="G22" s="140"/>
      <c r="H22" s="140"/>
      <c r="I22" s="140" t="s">
        <v>4803</v>
      </c>
      <c r="J22" s="252" t="s">
        <v>4804</v>
      </c>
    </row>
    <row r="23" spans="2:10" ht="14.25" x14ac:dyDescent="0.15">
      <c r="B23" s="492"/>
      <c r="C23" s="464"/>
      <c r="D23" s="466"/>
      <c r="E23" s="464"/>
      <c r="F23" s="464"/>
      <c r="G23" s="140"/>
      <c r="H23" s="140"/>
      <c r="I23" s="275" t="s">
        <v>4805</v>
      </c>
      <c r="J23" s="252"/>
    </row>
    <row r="24" spans="2:10" ht="14.25" x14ac:dyDescent="0.15">
      <c r="B24" s="492"/>
      <c r="C24" s="464"/>
      <c r="D24" s="466"/>
      <c r="E24" s="464"/>
      <c r="F24" s="464"/>
      <c r="G24" s="140"/>
      <c r="H24" s="140"/>
      <c r="I24" s="140" t="s">
        <v>4806</v>
      </c>
      <c r="J24" s="252" t="s">
        <v>4807</v>
      </c>
    </row>
    <row r="25" spans="2:10" ht="64.5" thickBot="1" x14ac:dyDescent="0.2">
      <c r="B25" s="492"/>
      <c r="C25" s="464"/>
      <c r="D25" s="466"/>
      <c r="E25" s="464"/>
      <c r="F25" s="464"/>
      <c r="G25" s="140"/>
      <c r="H25" s="140"/>
      <c r="I25" s="140" t="s">
        <v>4808</v>
      </c>
      <c r="J25" s="252" t="s">
        <v>4809</v>
      </c>
    </row>
    <row r="26" spans="2:10" ht="14.25" x14ac:dyDescent="0.15">
      <c r="B26" s="492"/>
      <c r="C26" s="464"/>
      <c r="D26" s="466"/>
      <c r="E26" s="464"/>
      <c r="F26" s="464"/>
      <c r="G26" s="140"/>
      <c r="H26" s="140"/>
      <c r="I26" s="470" t="s">
        <v>4810</v>
      </c>
      <c r="J26" s="471"/>
    </row>
    <row r="27" spans="2:10" ht="14.25" x14ac:dyDescent="0.15">
      <c r="B27" s="492"/>
      <c r="C27" s="464"/>
      <c r="D27" s="466"/>
      <c r="E27" s="464"/>
      <c r="F27" s="464"/>
      <c r="G27" s="140"/>
      <c r="H27" s="140"/>
      <c r="I27" s="274" t="s">
        <v>4811</v>
      </c>
      <c r="J27" s="263"/>
    </row>
    <row r="28" spans="2:10" ht="74.25" x14ac:dyDescent="0.15">
      <c r="B28" s="492"/>
      <c r="C28" s="464"/>
      <c r="D28" s="466"/>
      <c r="E28" s="464"/>
      <c r="F28" s="464"/>
      <c r="G28" s="140"/>
      <c r="H28" s="140"/>
      <c r="I28" s="140" t="s">
        <v>4812</v>
      </c>
      <c r="J28" s="252" t="s">
        <v>4813</v>
      </c>
    </row>
    <row r="29" spans="2:10" ht="54" thickBot="1" x14ac:dyDescent="0.2">
      <c r="B29" s="492"/>
      <c r="C29" s="464"/>
      <c r="D29" s="466"/>
      <c r="E29" s="464"/>
      <c r="F29" s="464"/>
      <c r="G29" s="140"/>
      <c r="H29" s="140"/>
      <c r="I29" s="140" t="s">
        <v>4814</v>
      </c>
      <c r="J29" s="252" t="s">
        <v>4815</v>
      </c>
    </row>
    <row r="30" spans="2:10" ht="15" thickBot="1" x14ac:dyDescent="0.2">
      <c r="B30" s="493"/>
      <c r="C30" s="465"/>
      <c r="D30" s="467"/>
      <c r="E30" s="465"/>
      <c r="F30" s="465"/>
      <c r="G30" s="257"/>
      <c r="H30" s="257"/>
      <c r="I30" s="264" t="s">
        <v>4816</v>
      </c>
      <c r="J30" s="265" t="s">
        <v>4817</v>
      </c>
    </row>
    <row r="31" spans="2:10" ht="15" thickBot="1" x14ac:dyDescent="0.2"/>
    <row r="32" spans="2:10" ht="14.25" x14ac:dyDescent="0.15">
      <c r="B32" s="456" t="s">
        <v>4760</v>
      </c>
      <c r="C32" s="458" t="s">
        <v>4761</v>
      </c>
      <c r="D32" s="458" t="s">
        <v>4762</v>
      </c>
      <c r="E32" s="458" t="s">
        <v>4763</v>
      </c>
      <c r="F32" s="458" t="s">
        <v>4818</v>
      </c>
      <c r="G32" s="458" t="s">
        <v>4765</v>
      </c>
      <c r="H32" s="458"/>
      <c r="I32" s="458" t="s">
        <v>4766</v>
      </c>
      <c r="J32" s="460" t="s">
        <v>4767</v>
      </c>
    </row>
    <row r="33" spans="2:10" ht="15" thickBot="1" x14ac:dyDescent="0.2">
      <c r="B33" s="457"/>
      <c r="C33" s="459"/>
      <c r="D33" s="459"/>
      <c r="E33" s="459"/>
      <c r="F33" s="459"/>
      <c r="G33" s="251" t="s">
        <v>4768</v>
      </c>
      <c r="H33" s="251" t="s">
        <v>4769</v>
      </c>
      <c r="I33" s="459"/>
      <c r="J33" s="461"/>
    </row>
    <row r="34" spans="2:10" ht="14.25" x14ac:dyDescent="0.15">
      <c r="B34" s="474" t="s">
        <v>4770</v>
      </c>
      <c r="C34" s="475" t="s">
        <v>4819</v>
      </c>
      <c r="D34" s="476">
        <v>44147</v>
      </c>
      <c r="E34" s="475" t="s">
        <v>1594</v>
      </c>
      <c r="F34" s="475" t="s">
        <v>4772</v>
      </c>
      <c r="G34" s="266" t="s">
        <v>4773</v>
      </c>
      <c r="H34" s="266" t="s">
        <v>4774</v>
      </c>
      <c r="I34" s="477" t="s">
        <v>4775</v>
      </c>
      <c r="J34" s="478"/>
    </row>
    <row r="35" spans="2:10" ht="14.25" x14ac:dyDescent="0.15">
      <c r="B35" s="462"/>
      <c r="C35" s="464"/>
      <c r="D35" s="466"/>
      <c r="E35" s="464"/>
      <c r="F35" s="464"/>
      <c r="G35" s="271" t="s">
        <v>4820</v>
      </c>
      <c r="H35" s="271" t="s">
        <v>4821</v>
      </c>
      <c r="I35" s="140" t="s">
        <v>4822</v>
      </c>
      <c r="J35" s="252" t="s">
        <v>4823</v>
      </c>
    </row>
    <row r="36" spans="2:10" ht="14.25" x14ac:dyDescent="0.15">
      <c r="B36" s="462"/>
      <c r="C36" s="464"/>
      <c r="D36" s="466"/>
      <c r="E36" s="464"/>
      <c r="F36" s="464"/>
      <c r="G36" s="271" t="s">
        <v>4776</v>
      </c>
      <c r="H36" s="271" t="s">
        <v>4824</v>
      </c>
      <c r="I36" s="140" t="s">
        <v>4825</v>
      </c>
      <c r="J36" s="252" t="s">
        <v>4826</v>
      </c>
    </row>
    <row r="37" spans="2:10" ht="15" thickBot="1" x14ac:dyDescent="0.2">
      <c r="B37" s="462"/>
      <c r="C37" s="464"/>
      <c r="D37" s="466"/>
      <c r="E37" s="464"/>
      <c r="F37" s="464"/>
      <c r="G37" s="272"/>
      <c r="H37" s="272"/>
      <c r="I37" s="140" t="s">
        <v>4782</v>
      </c>
      <c r="J37" s="252" t="s">
        <v>4827</v>
      </c>
    </row>
    <row r="38" spans="2:10" ht="14.25" x14ac:dyDescent="0.15">
      <c r="B38" s="462"/>
      <c r="C38" s="464"/>
      <c r="D38" s="466"/>
      <c r="E38" s="464"/>
      <c r="F38" s="464"/>
      <c r="G38" s="140"/>
      <c r="H38" s="140"/>
      <c r="I38" s="470" t="s">
        <v>4795</v>
      </c>
      <c r="J38" s="471"/>
    </row>
    <row r="39" spans="2:10" ht="14.25" x14ac:dyDescent="0.15">
      <c r="B39" s="462"/>
      <c r="C39" s="464"/>
      <c r="D39" s="466"/>
      <c r="E39" s="464"/>
      <c r="F39" s="464"/>
      <c r="G39" s="140"/>
      <c r="H39" s="140"/>
      <c r="I39" s="274" t="s">
        <v>4828</v>
      </c>
      <c r="J39" s="263"/>
    </row>
    <row r="40" spans="2:10" ht="33" thickBot="1" x14ac:dyDescent="0.2">
      <c r="B40" s="462"/>
      <c r="C40" s="464"/>
      <c r="D40" s="466"/>
      <c r="E40" s="464"/>
      <c r="F40" s="464"/>
      <c r="G40" s="140"/>
      <c r="H40" s="140"/>
      <c r="I40" s="276" t="s">
        <v>4829</v>
      </c>
      <c r="J40" s="252" t="s">
        <v>4830</v>
      </c>
    </row>
    <row r="41" spans="2:10" ht="14.25" x14ac:dyDescent="0.15">
      <c r="B41" s="462"/>
      <c r="C41" s="464"/>
      <c r="D41" s="466"/>
      <c r="E41" s="464"/>
      <c r="F41" s="464"/>
      <c r="G41" s="140"/>
      <c r="H41" s="140"/>
      <c r="I41" s="470" t="s">
        <v>4810</v>
      </c>
      <c r="J41" s="471"/>
    </row>
    <row r="42" spans="2:10" ht="14.25" x14ac:dyDescent="0.15">
      <c r="B42" s="462"/>
      <c r="C42" s="464"/>
      <c r="D42" s="466"/>
      <c r="E42" s="464"/>
      <c r="F42" s="464"/>
      <c r="G42" s="140"/>
      <c r="H42" s="140"/>
      <c r="I42" s="274" t="s">
        <v>4811</v>
      </c>
      <c r="J42" s="263"/>
    </row>
    <row r="43" spans="2:10" ht="42.75" x14ac:dyDescent="0.15">
      <c r="B43" s="462"/>
      <c r="C43" s="464"/>
      <c r="D43" s="466"/>
      <c r="E43" s="464"/>
      <c r="F43" s="464"/>
      <c r="G43" s="140"/>
      <c r="H43" s="140"/>
      <c r="I43" s="140" t="s">
        <v>4831</v>
      </c>
      <c r="J43" s="252" t="s">
        <v>4832</v>
      </c>
    </row>
    <row r="44" spans="2:10" ht="97.5" thickBot="1" x14ac:dyDescent="0.2">
      <c r="B44" s="463"/>
      <c r="C44" s="465"/>
      <c r="D44" s="467"/>
      <c r="E44" s="465"/>
      <c r="F44" s="465"/>
      <c r="G44" s="257"/>
      <c r="H44" s="257"/>
      <c r="I44" s="253" t="s">
        <v>4833</v>
      </c>
      <c r="J44" s="254" t="s">
        <v>4834</v>
      </c>
    </row>
    <row r="45" spans="2:10" ht="15" thickBot="1" x14ac:dyDescent="0.2"/>
    <row r="46" spans="2:10" ht="14.25" x14ac:dyDescent="0.15">
      <c r="B46" s="456" t="s">
        <v>4760</v>
      </c>
      <c r="C46" s="458" t="s">
        <v>4761</v>
      </c>
      <c r="D46" s="458" t="s">
        <v>4762</v>
      </c>
      <c r="E46" s="458" t="s">
        <v>4763</v>
      </c>
      <c r="F46" s="458" t="s">
        <v>4818</v>
      </c>
      <c r="G46" s="458" t="s">
        <v>4765</v>
      </c>
      <c r="H46" s="458"/>
      <c r="I46" s="458" t="s">
        <v>4766</v>
      </c>
      <c r="J46" s="460" t="s">
        <v>4767</v>
      </c>
    </row>
    <row r="47" spans="2:10" ht="15" thickBot="1" x14ac:dyDescent="0.2">
      <c r="B47" s="457"/>
      <c r="C47" s="459"/>
      <c r="D47" s="459"/>
      <c r="E47" s="459"/>
      <c r="F47" s="459"/>
      <c r="G47" s="251" t="s">
        <v>4768</v>
      </c>
      <c r="H47" s="251" t="s">
        <v>4769</v>
      </c>
      <c r="I47" s="459"/>
      <c r="J47" s="461"/>
    </row>
    <row r="48" spans="2:10" ht="14.25" x14ac:dyDescent="0.15">
      <c r="B48" s="474" t="s">
        <v>4770</v>
      </c>
      <c r="C48" s="475" t="s">
        <v>4835</v>
      </c>
      <c r="D48" s="476">
        <v>44147</v>
      </c>
      <c r="E48" s="475" t="s">
        <v>1594</v>
      </c>
      <c r="F48" s="475" t="s">
        <v>4772</v>
      </c>
      <c r="G48" s="266" t="s">
        <v>4773</v>
      </c>
      <c r="H48" s="266" t="s">
        <v>4774</v>
      </c>
      <c r="I48" s="477" t="s">
        <v>4775</v>
      </c>
      <c r="J48" s="478"/>
    </row>
    <row r="49" spans="2:10" ht="14.25" x14ac:dyDescent="0.15">
      <c r="B49" s="462"/>
      <c r="C49" s="464"/>
      <c r="D49" s="466"/>
      <c r="E49" s="464"/>
      <c r="F49" s="464"/>
      <c r="G49" s="271" t="s">
        <v>4836</v>
      </c>
      <c r="H49" s="271" t="s">
        <v>4837</v>
      </c>
      <c r="I49" s="140" t="s">
        <v>4822</v>
      </c>
      <c r="J49" s="252" t="s">
        <v>4817</v>
      </c>
    </row>
    <row r="50" spans="2:10" ht="14.25" x14ac:dyDescent="0.15">
      <c r="B50" s="462"/>
      <c r="C50" s="464"/>
      <c r="D50" s="466"/>
      <c r="E50" s="464"/>
      <c r="F50" s="464"/>
      <c r="G50" s="271" t="s">
        <v>4776</v>
      </c>
      <c r="H50" s="271" t="s">
        <v>4838</v>
      </c>
      <c r="I50" s="140" t="s">
        <v>4825</v>
      </c>
      <c r="J50" s="252" t="s">
        <v>4817</v>
      </c>
    </row>
    <row r="51" spans="2:10" ht="15" thickBot="1" x14ac:dyDescent="0.2">
      <c r="B51" s="462"/>
      <c r="C51" s="464"/>
      <c r="D51" s="466"/>
      <c r="E51" s="464"/>
      <c r="F51" s="464"/>
      <c r="G51" s="272"/>
      <c r="H51" s="272"/>
      <c r="I51" s="140" t="s">
        <v>4782</v>
      </c>
      <c r="J51" s="252" t="s">
        <v>4839</v>
      </c>
    </row>
    <row r="52" spans="2:10" ht="14.25" x14ac:dyDescent="0.15">
      <c r="B52" s="462"/>
      <c r="C52" s="464"/>
      <c r="D52" s="466"/>
      <c r="E52" s="464"/>
      <c r="F52" s="464"/>
      <c r="G52" s="140"/>
      <c r="H52" s="140"/>
      <c r="I52" s="470" t="s">
        <v>4795</v>
      </c>
      <c r="J52" s="471"/>
    </row>
    <row r="53" spans="2:10" ht="14.25" x14ac:dyDescent="0.15">
      <c r="B53" s="462"/>
      <c r="C53" s="464"/>
      <c r="D53" s="466"/>
      <c r="E53" s="464"/>
      <c r="F53" s="464"/>
      <c r="G53" s="140"/>
      <c r="H53" s="140"/>
      <c r="I53" s="274" t="s">
        <v>4828</v>
      </c>
      <c r="J53" s="263"/>
    </row>
    <row r="54" spans="2:10" ht="33" thickBot="1" x14ac:dyDescent="0.2">
      <c r="B54" s="462"/>
      <c r="C54" s="464"/>
      <c r="D54" s="466"/>
      <c r="E54" s="464"/>
      <c r="F54" s="464"/>
      <c r="G54" s="140"/>
      <c r="H54" s="140"/>
      <c r="I54" s="276" t="s">
        <v>4829</v>
      </c>
      <c r="J54" s="252" t="s">
        <v>4840</v>
      </c>
    </row>
    <row r="55" spans="2:10" ht="14.25" x14ac:dyDescent="0.15">
      <c r="B55" s="462"/>
      <c r="C55" s="464"/>
      <c r="D55" s="466"/>
      <c r="E55" s="464"/>
      <c r="F55" s="464"/>
      <c r="G55" s="140"/>
      <c r="H55" s="140"/>
      <c r="I55" s="470" t="s">
        <v>4810</v>
      </c>
      <c r="J55" s="471"/>
    </row>
    <row r="56" spans="2:10" ht="14.25" x14ac:dyDescent="0.15">
      <c r="B56" s="462"/>
      <c r="C56" s="464"/>
      <c r="D56" s="466"/>
      <c r="E56" s="464"/>
      <c r="F56" s="464"/>
      <c r="G56" s="140"/>
      <c r="H56" s="140"/>
      <c r="I56" s="274" t="s">
        <v>4811</v>
      </c>
      <c r="J56" s="263"/>
    </row>
    <row r="57" spans="2:10" ht="42.75" x14ac:dyDescent="0.15">
      <c r="B57" s="462"/>
      <c r="C57" s="464"/>
      <c r="D57" s="466"/>
      <c r="E57" s="464"/>
      <c r="F57" s="464"/>
      <c r="G57" s="140"/>
      <c r="H57" s="140"/>
      <c r="I57" s="140" t="s">
        <v>4831</v>
      </c>
      <c r="J57" s="252" t="s">
        <v>4841</v>
      </c>
    </row>
    <row r="58" spans="2:10" ht="97.5" thickBot="1" x14ac:dyDescent="0.2">
      <c r="B58" s="463"/>
      <c r="C58" s="465"/>
      <c r="D58" s="467"/>
      <c r="E58" s="465"/>
      <c r="F58" s="465"/>
      <c r="G58" s="257"/>
      <c r="H58" s="257"/>
      <c r="I58" s="253" t="s">
        <v>4842</v>
      </c>
      <c r="J58" s="254" t="s">
        <v>4834</v>
      </c>
    </row>
    <row r="59" spans="2:10" ht="15" thickBot="1" x14ac:dyDescent="0.2"/>
    <row r="60" spans="2:10" ht="14.25" x14ac:dyDescent="0.15">
      <c r="B60" s="456" t="s">
        <v>4760</v>
      </c>
      <c r="C60" s="458" t="s">
        <v>4761</v>
      </c>
      <c r="D60" s="458" t="s">
        <v>4762</v>
      </c>
      <c r="E60" s="458" t="s">
        <v>4763</v>
      </c>
      <c r="F60" s="458" t="s">
        <v>4818</v>
      </c>
      <c r="G60" s="458" t="s">
        <v>4765</v>
      </c>
      <c r="H60" s="458"/>
      <c r="I60" s="458" t="s">
        <v>4766</v>
      </c>
      <c r="J60" s="460" t="s">
        <v>4767</v>
      </c>
    </row>
    <row r="61" spans="2:10" ht="15" thickBot="1" x14ac:dyDescent="0.2">
      <c r="B61" s="457"/>
      <c r="C61" s="459"/>
      <c r="D61" s="459"/>
      <c r="E61" s="459"/>
      <c r="F61" s="459"/>
      <c r="G61" s="251" t="s">
        <v>4768</v>
      </c>
      <c r="H61" s="251" t="s">
        <v>4769</v>
      </c>
      <c r="I61" s="459"/>
      <c r="J61" s="461"/>
    </row>
    <row r="62" spans="2:10" ht="14.25" x14ac:dyDescent="0.15">
      <c r="B62" s="482" t="s">
        <v>4770</v>
      </c>
      <c r="C62" s="485" t="s">
        <v>4843</v>
      </c>
      <c r="D62" s="488">
        <v>43713</v>
      </c>
      <c r="E62" s="485" t="s">
        <v>1594</v>
      </c>
      <c r="F62" s="485" t="s">
        <v>4844</v>
      </c>
      <c r="G62" s="267" t="s">
        <v>4773</v>
      </c>
      <c r="H62" s="267" t="s">
        <v>4774</v>
      </c>
      <c r="I62" s="477" t="s">
        <v>4775</v>
      </c>
      <c r="J62" s="478"/>
    </row>
    <row r="63" spans="2:10" ht="14.25" x14ac:dyDescent="0.15">
      <c r="B63" s="483"/>
      <c r="C63" s="486"/>
      <c r="D63" s="489"/>
      <c r="E63" s="486"/>
      <c r="F63" s="486"/>
      <c r="G63" s="277" t="s">
        <v>4845</v>
      </c>
      <c r="H63" s="277" t="s">
        <v>4846</v>
      </c>
      <c r="I63" s="6" t="s">
        <v>4778</v>
      </c>
      <c r="J63" s="262" t="s">
        <v>4847</v>
      </c>
    </row>
    <row r="64" spans="2:10" ht="15" thickBot="1" x14ac:dyDescent="0.2">
      <c r="B64" s="483"/>
      <c r="C64" s="486"/>
      <c r="D64" s="489"/>
      <c r="E64" s="486"/>
      <c r="F64" s="486"/>
      <c r="G64" s="278" t="s">
        <v>4848</v>
      </c>
      <c r="H64" s="278" t="s">
        <v>4777</v>
      </c>
      <c r="I64" s="6" t="s">
        <v>4849</v>
      </c>
      <c r="J64" s="262" t="s">
        <v>4847</v>
      </c>
    </row>
    <row r="65" spans="2:10" ht="14.25" x14ac:dyDescent="0.15">
      <c r="B65" s="483"/>
      <c r="C65" s="486"/>
      <c r="D65" s="489"/>
      <c r="E65" s="486"/>
      <c r="F65" s="486"/>
      <c r="G65" s="6"/>
      <c r="H65" s="6"/>
      <c r="I65" s="470" t="s">
        <v>4788</v>
      </c>
      <c r="J65" s="471"/>
    </row>
    <row r="66" spans="2:10" ht="15" thickBot="1" x14ac:dyDescent="0.2">
      <c r="B66" s="483"/>
      <c r="C66" s="486"/>
      <c r="D66" s="489"/>
      <c r="E66" s="486"/>
      <c r="F66" s="486"/>
      <c r="G66" s="6"/>
      <c r="H66" s="6"/>
      <c r="I66" s="6" t="s">
        <v>4850</v>
      </c>
      <c r="J66" s="262" t="s">
        <v>4851</v>
      </c>
    </row>
    <row r="67" spans="2:10" ht="14.25" x14ac:dyDescent="0.15">
      <c r="B67" s="483"/>
      <c r="C67" s="486"/>
      <c r="D67" s="489"/>
      <c r="E67" s="486"/>
      <c r="F67" s="486"/>
      <c r="G67" s="6"/>
      <c r="H67" s="6"/>
      <c r="I67" s="470" t="s">
        <v>4795</v>
      </c>
      <c r="J67" s="471"/>
    </row>
    <row r="68" spans="2:10" ht="14.25" x14ac:dyDescent="0.15">
      <c r="B68" s="483"/>
      <c r="C68" s="486"/>
      <c r="D68" s="489"/>
      <c r="E68" s="486"/>
      <c r="F68" s="486"/>
      <c r="G68" s="6"/>
      <c r="H68" s="6"/>
      <c r="I68" s="279" t="s">
        <v>4852</v>
      </c>
      <c r="J68" s="472" t="s">
        <v>4853</v>
      </c>
    </row>
    <row r="69" spans="2:10" ht="14.25" x14ac:dyDescent="0.15">
      <c r="B69" s="483"/>
      <c r="C69" s="486"/>
      <c r="D69" s="489"/>
      <c r="E69" s="486"/>
      <c r="F69" s="486"/>
      <c r="G69" s="6"/>
      <c r="H69" s="6"/>
      <c r="I69" s="274" t="s">
        <v>4796</v>
      </c>
      <c r="J69" s="472"/>
    </row>
    <row r="70" spans="2:10" ht="14.25" x14ac:dyDescent="0.15">
      <c r="B70" s="483"/>
      <c r="C70" s="486"/>
      <c r="D70" s="489"/>
      <c r="E70" s="486"/>
      <c r="F70" s="486"/>
      <c r="G70" s="6"/>
      <c r="H70" s="6"/>
      <c r="I70" s="6" t="s">
        <v>4854</v>
      </c>
      <c r="J70" s="472"/>
    </row>
    <row r="71" spans="2:10" ht="14.25" x14ac:dyDescent="0.15">
      <c r="B71" s="483"/>
      <c r="C71" s="486"/>
      <c r="D71" s="489"/>
      <c r="E71" s="486"/>
      <c r="F71" s="486"/>
      <c r="G71" s="6"/>
      <c r="H71" s="6"/>
      <c r="I71" s="6" t="s">
        <v>4855</v>
      </c>
      <c r="J71" s="472"/>
    </row>
    <row r="72" spans="2:10" ht="14.25" x14ac:dyDescent="0.15">
      <c r="B72" s="483"/>
      <c r="C72" s="486"/>
      <c r="D72" s="489"/>
      <c r="E72" s="486"/>
      <c r="F72" s="486"/>
      <c r="G72" s="6"/>
      <c r="H72" s="6"/>
      <c r="I72" s="6" t="s">
        <v>4856</v>
      </c>
      <c r="J72" s="472"/>
    </row>
    <row r="73" spans="2:10" ht="14.25" x14ac:dyDescent="0.15">
      <c r="B73" s="483"/>
      <c r="C73" s="486"/>
      <c r="D73" s="489"/>
      <c r="E73" s="486"/>
      <c r="F73" s="486"/>
      <c r="G73" s="6"/>
      <c r="H73" s="6"/>
      <c r="I73" s="6" t="s">
        <v>4857</v>
      </c>
      <c r="J73" s="472"/>
    </row>
    <row r="74" spans="2:10" ht="45" x14ac:dyDescent="0.15">
      <c r="B74" s="483"/>
      <c r="C74" s="486"/>
      <c r="D74" s="489"/>
      <c r="E74" s="486"/>
      <c r="F74" s="486"/>
      <c r="G74" s="6"/>
      <c r="H74" s="6"/>
      <c r="I74" s="277" t="s">
        <v>4858</v>
      </c>
      <c r="J74" s="262" t="s">
        <v>4859</v>
      </c>
    </row>
    <row r="75" spans="2:10" ht="14.25" x14ac:dyDescent="0.15">
      <c r="B75" s="483"/>
      <c r="C75" s="486"/>
      <c r="D75" s="489"/>
      <c r="E75" s="486"/>
      <c r="F75" s="486"/>
      <c r="G75" s="6"/>
      <c r="H75" s="6"/>
      <c r="I75" s="6" t="s">
        <v>4860</v>
      </c>
      <c r="J75" s="262" t="s">
        <v>4804</v>
      </c>
    </row>
    <row r="76" spans="2:10" ht="14.25" x14ac:dyDescent="0.15">
      <c r="B76" s="483"/>
      <c r="C76" s="486"/>
      <c r="D76" s="489"/>
      <c r="E76" s="486"/>
      <c r="F76" s="486"/>
      <c r="G76" s="6"/>
      <c r="H76" s="6"/>
      <c r="I76" s="280" t="s">
        <v>4805</v>
      </c>
      <c r="J76" s="262"/>
    </row>
    <row r="77" spans="2:10" ht="15" thickBot="1" x14ac:dyDescent="0.2">
      <c r="B77" s="483"/>
      <c r="C77" s="486"/>
      <c r="D77" s="489"/>
      <c r="E77" s="486"/>
      <c r="F77" s="486"/>
      <c r="G77" s="6"/>
      <c r="H77" s="6"/>
      <c r="I77" s="6" t="s">
        <v>4861</v>
      </c>
      <c r="J77" s="262"/>
    </row>
    <row r="78" spans="2:10" ht="14.25" x14ac:dyDescent="0.15">
      <c r="B78" s="483"/>
      <c r="C78" s="486"/>
      <c r="D78" s="489"/>
      <c r="E78" s="486"/>
      <c r="F78" s="486"/>
      <c r="G78" s="6"/>
      <c r="H78" s="6"/>
      <c r="I78" s="470" t="s">
        <v>4810</v>
      </c>
      <c r="J78" s="471"/>
    </row>
    <row r="79" spans="2:10" ht="14.25" x14ac:dyDescent="0.15">
      <c r="B79" s="483"/>
      <c r="C79" s="486"/>
      <c r="D79" s="489"/>
      <c r="E79" s="486"/>
      <c r="F79" s="486"/>
      <c r="G79" s="6"/>
      <c r="H79" s="6"/>
      <c r="I79" s="274" t="s">
        <v>4811</v>
      </c>
      <c r="J79" s="263"/>
    </row>
    <row r="80" spans="2:10" ht="95.25" thickBot="1" x14ac:dyDescent="0.2">
      <c r="B80" s="484"/>
      <c r="C80" s="487"/>
      <c r="D80" s="490"/>
      <c r="E80" s="487"/>
      <c r="F80" s="487"/>
      <c r="G80" s="255"/>
      <c r="H80" s="255"/>
      <c r="I80" s="255" t="s">
        <v>4862</v>
      </c>
      <c r="J80" s="268" t="s">
        <v>4853</v>
      </c>
    </row>
    <row r="81" spans="2:10" ht="15" thickBot="1" x14ac:dyDescent="0.2"/>
    <row r="82" spans="2:10" ht="14.25" x14ac:dyDescent="0.15">
      <c r="B82" s="456" t="s">
        <v>4760</v>
      </c>
      <c r="C82" s="458" t="s">
        <v>4761</v>
      </c>
      <c r="D82" s="458" t="s">
        <v>4762</v>
      </c>
      <c r="E82" s="458" t="s">
        <v>4763</v>
      </c>
      <c r="F82" s="458" t="s">
        <v>4863</v>
      </c>
      <c r="G82" s="458" t="s">
        <v>4765</v>
      </c>
      <c r="H82" s="458"/>
      <c r="I82" s="458" t="s">
        <v>4766</v>
      </c>
      <c r="J82" s="460" t="s">
        <v>4767</v>
      </c>
    </row>
    <row r="83" spans="2:10" ht="15" thickBot="1" x14ac:dyDescent="0.2">
      <c r="B83" s="457"/>
      <c r="C83" s="459"/>
      <c r="D83" s="459"/>
      <c r="E83" s="459"/>
      <c r="F83" s="459"/>
      <c r="G83" s="251" t="s">
        <v>4768</v>
      </c>
      <c r="H83" s="251" t="s">
        <v>4769</v>
      </c>
      <c r="I83" s="459"/>
      <c r="J83" s="461"/>
    </row>
    <row r="84" spans="2:10" ht="14.25" x14ac:dyDescent="0.15">
      <c r="B84" s="474" t="s">
        <v>4770</v>
      </c>
      <c r="C84" s="475" t="s">
        <v>4864</v>
      </c>
      <c r="D84" s="476">
        <v>43430</v>
      </c>
      <c r="E84" s="475" t="s">
        <v>4865</v>
      </c>
      <c r="F84" s="475" t="s">
        <v>4866</v>
      </c>
      <c r="G84" s="271" t="s">
        <v>4773</v>
      </c>
      <c r="H84" s="271" t="s">
        <v>4774</v>
      </c>
      <c r="I84" s="477" t="s">
        <v>4775</v>
      </c>
      <c r="J84" s="478"/>
    </row>
    <row r="85" spans="2:10" ht="14.25" x14ac:dyDescent="0.15">
      <c r="B85" s="462"/>
      <c r="C85" s="464"/>
      <c r="D85" s="466"/>
      <c r="E85" s="464"/>
      <c r="F85" s="464"/>
      <c r="G85" s="271" t="s">
        <v>4867</v>
      </c>
      <c r="H85" s="271" t="s">
        <v>4846</v>
      </c>
      <c r="I85" s="140" t="s">
        <v>4868</v>
      </c>
      <c r="J85" s="252" t="s">
        <v>4869</v>
      </c>
    </row>
    <row r="86" spans="2:10" ht="15" thickBot="1" x14ac:dyDescent="0.2">
      <c r="B86" s="462"/>
      <c r="C86" s="464"/>
      <c r="D86" s="466"/>
      <c r="E86" s="464"/>
      <c r="F86" s="464"/>
      <c r="G86" s="272"/>
      <c r="H86" s="272"/>
      <c r="I86" s="140" t="s">
        <v>4782</v>
      </c>
      <c r="J86" s="252" t="s">
        <v>4870</v>
      </c>
    </row>
    <row r="87" spans="2:10" ht="14.25" x14ac:dyDescent="0.15">
      <c r="B87" s="462"/>
      <c r="C87" s="464"/>
      <c r="D87" s="466"/>
      <c r="E87" s="464"/>
      <c r="F87" s="464"/>
      <c r="G87" s="140"/>
      <c r="H87" s="140"/>
      <c r="I87" s="470" t="s">
        <v>4788</v>
      </c>
      <c r="J87" s="471"/>
    </row>
    <row r="88" spans="2:10" ht="22.5" thickBot="1" x14ac:dyDescent="0.2">
      <c r="B88" s="462"/>
      <c r="C88" s="464"/>
      <c r="D88" s="466"/>
      <c r="E88" s="464"/>
      <c r="F88" s="464"/>
      <c r="G88" s="140"/>
      <c r="H88" s="140"/>
      <c r="I88" s="281" t="s">
        <v>4871</v>
      </c>
      <c r="J88" s="262" t="s">
        <v>4872</v>
      </c>
    </row>
    <row r="89" spans="2:10" ht="14.25" x14ac:dyDescent="0.15">
      <c r="B89" s="462"/>
      <c r="C89" s="464"/>
      <c r="D89" s="466"/>
      <c r="E89" s="464"/>
      <c r="F89" s="464"/>
      <c r="G89" s="140"/>
      <c r="H89" s="140"/>
      <c r="I89" s="470" t="s">
        <v>4873</v>
      </c>
      <c r="J89" s="471"/>
    </row>
    <row r="90" spans="2:10" ht="14.25" x14ac:dyDescent="0.15">
      <c r="B90" s="462"/>
      <c r="C90" s="464"/>
      <c r="D90" s="466"/>
      <c r="E90" s="464"/>
      <c r="F90" s="464"/>
      <c r="G90" s="140"/>
      <c r="H90" s="140"/>
      <c r="I90" s="274" t="s">
        <v>4828</v>
      </c>
      <c r="J90" s="263"/>
    </row>
    <row r="91" spans="2:10" ht="21.75" x14ac:dyDescent="0.15">
      <c r="B91" s="462"/>
      <c r="C91" s="464"/>
      <c r="D91" s="466"/>
      <c r="E91" s="464"/>
      <c r="F91" s="464"/>
      <c r="G91" s="140"/>
      <c r="H91" s="140"/>
      <c r="I91" s="282" t="s">
        <v>4874</v>
      </c>
      <c r="J91" s="252" t="s">
        <v>4875</v>
      </c>
    </row>
    <row r="92" spans="2:10" ht="21.75" x14ac:dyDescent="0.15">
      <c r="B92" s="462"/>
      <c r="C92" s="464"/>
      <c r="D92" s="466"/>
      <c r="E92" s="464"/>
      <c r="F92" s="464"/>
      <c r="G92" s="140"/>
      <c r="H92" s="140"/>
      <c r="I92" s="140" t="s">
        <v>4876</v>
      </c>
      <c r="J92" s="252" t="s">
        <v>4877</v>
      </c>
    </row>
    <row r="93" spans="2:10" ht="21.75" x14ac:dyDescent="0.15">
      <c r="B93" s="462"/>
      <c r="C93" s="464"/>
      <c r="D93" s="466"/>
      <c r="E93" s="464"/>
      <c r="F93" s="464"/>
      <c r="G93" s="140"/>
      <c r="H93" s="140"/>
      <c r="I93" s="140" t="s">
        <v>4878</v>
      </c>
      <c r="J93" s="252" t="s">
        <v>4879</v>
      </c>
    </row>
    <row r="94" spans="2:10" ht="21.75" x14ac:dyDescent="0.15">
      <c r="B94" s="462"/>
      <c r="C94" s="464"/>
      <c r="D94" s="466"/>
      <c r="E94" s="464"/>
      <c r="F94" s="464"/>
      <c r="G94" s="140"/>
      <c r="H94" s="140"/>
      <c r="I94" s="140" t="s">
        <v>4880</v>
      </c>
      <c r="J94" s="252" t="s">
        <v>4881</v>
      </c>
    </row>
    <row r="95" spans="2:10" ht="21.75" x14ac:dyDescent="0.15">
      <c r="B95" s="462"/>
      <c r="C95" s="464"/>
      <c r="D95" s="466"/>
      <c r="E95" s="464"/>
      <c r="F95" s="464"/>
      <c r="G95" s="140"/>
      <c r="H95" s="140"/>
      <c r="I95" s="140" t="s">
        <v>4882</v>
      </c>
      <c r="J95" s="252" t="s">
        <v>4883</v>
      </c>
    </row>
    <row r="96" spans="2:10" ht="21.75" x14ac:dyDescent="0.15">
      <c r="B96" s="462"/>
      <c r="C96" s="464"/>
      <c r="D96" s="466"/>
      <c r="E96" s="464"/>
      <c r="F96" s="464"/>
      <c r="G96" s="140"/>
      <c r="H96" s="140"/>
      <c r="I96" s="140" t="s">
        <v>4884</v>
      </c>
      <c r="J96" s="252" t="s">
        <v>4885</v>
      </c>
    </row>
    <row r="97" spans="2:10" ht="21.75" x14ac:dyDescent="0.15">
      <c r="B97" s="462"/>
      <c r="C97" s="464"/>
      <c r="D97" s="466"/>
      <c r="E97" s="464"/>
      <c r="F97" s="464"/>
      <c r="G97" s="140"/>
      <c r="H97" s="140"/>
      <c r="I97" s="140" t="s">
        <v>4886</v>
      </c>
      <c r="J97" s="252" t="s">
        <v>4887</v>
      </c>
    </row>
    <row r="98" spans="2:10" ht="21.75" x14ac:dyDescent="0.15">
      <c r="B98" s="462"/>
      <c r="C98" s="464"/>
      <c r="D98" s="466"/>
      <c r="E98" s="464"/>
      <c r="F98" s="464"/>
      <c r="G98" s="140"/>
      <c r="H98" s="140"/>
      <c r="I98" s="140" t="s">
        <v>4888</v>
      </c>
      <c r="J98" s="252" t="s">
        <v>4889</v>
      </c>
    </row>
    <row r="99" spans="2:10" ht="21.75" x14ac:dyDescent="0.15">
      <c r="B99" s="462"/>
      <c r="C99" s="464"/>
      <c r="D99" s="466"/>
      <c r="E99" s="464"/>
      <c r="F99" s="464"/>
      <c r="G99" s="140"/>
      <c r="H99" s="140"/>
      <c r="I99" s="140" t="s">
        <v>4890</v>
      </c>
      <c r="J99" s="252" t="s">
        <v>4891</v>
      </c>
    </row>
    <row r="100" spans="2:10" ht="22.5" thickBot="1" x14ac:dyDescent="0.2">
      <c r="B100" s="462"/>
      <c r="C100" s="464"/>
      <c r="D100" s="466"/>
      <c r="E100" s="464"/>
      <c r="F100" s="464"/>
      <c r="G100" s="140"/>
      <c r="H100" s="140"/>
      <c r="I100" s="140" t="s">
        <v>4892</v>
      </c>
      <c r="J100" s="252" t="s">
        <v>4893</v>
      </c>
    </row>
    <row r="101" spans="2:10" ht="14.25" x14ac:dyDescent="0.15">
      <c r="B101" s="462"/>
      <c r="C101" s="464"/>
      <c r="D101" s="466"/>
      <c r="E101" s="464"/>
      <c r="F101" s="464"/>
      <c r="G101" s="140"/>
      <c r="H101" s="140"/>
      <c r="I101" s="470" t="s">
        <v>4894</v>
      </c>
      <c r="J101" s="471"/>
    </row>
    <row r="102" spans="2:10" ht="14.25" x14ac:dyDescent="0.15">
      <c r="B102" s="462"/>
      <c r="C102" s="464"/>
      <c r="D102" s="466"/>
      <c r="E102" s="464"/>
      <c r="F102" s="464"/>
      <c r="G102" s="140"/>
      <c r="H102" s="140"/>
      <c r="I102" s="274" t="s">
        <v>4811</v>
      </c>
      <c r="J102" s="263"/>
    </row>
    <row r="103" spans="2:10" ht="64.5" thickBot="1" x14ac:dyDescent="0.2">
      <c r="B103" s="463"/>
      <c r="C103" s="465"/>
      <c r="D103" s="467"/>
      <c r="E103" s="465"/>
      <c r="F103" s="465"/>
      <c r="G103" s="257"/>
      <c r="H103" s="257"/>
      <c r="I103" s="256" t="s">
        <v>4895</v>
      </c>
      <c r="J103" s="254" t="s">
        <v>4896</v>
      </c>
    </row>
    <row r="104" spans="2:10" ht="15" thickBot="1" x14ac:dyDescent="0.2"/>
    <row r="105" spans="2:10" ht="14.25" x14ac:dyDescent="0.15">
      <c r="B105" s="456" t="s">
        <v>4760</v>
      </c>
      <c r="C105" s="458" t="s">
        <v>4761</v>
      </c>
      <c r="D105" s="458" t="s">
        <v>4762</v>
      </c>
      <c r="E105" s="458" t="s">
        <v>4763</v>
      </c>
      <c r="F105" s="458" t="s">
        <v>4818</v>
      </c>
      <c r="G105" s="458" t="s">
        <v>4765</v>
      </c>
      <c r="H105" s="458"/>
      <c r="I105" s="458" t="s">
        <v>4766</v>
      </c>
      <c r="J105" s="460" t="s">
        <v>4767</v>
      </c>
    </row>
    <row r="106" spans="2:10" ht="15" thickBot="1" x14ac:dyDescent="0.2">
      <c r="B106" s="480"/>
      <c r="C106" s="481"/>
      <c r="D106" s="481"/>
      <c r="E106" s="481"/>
      <c r="F106" s="481"/>
      <c r="G106" s="283" t="s">
        <v>4768</v>
      </c>
      <c r="H106" s="283" t="s">
        <v>4769</v>
      </c>
      <c r="I106" s="459"/>
      <c r="J106" s="461"/>
    </row>
    <row r="107" spans="2:10" ht="14.25" x14ac:dyDescent="0.15">
      <c r="B107" s="258"/>
      <c r="C107" s="464" t="s">
        <v>4897</v>
      </c>
      <c r="D107" s="466">
        <v>43259</v>
      </c>
      <c r="E107" s="464" t="s">
        <v>1568</v>
      </c>
      <c r="F107" s="464" t="s">
        <v>4898</v>
      </c>
      <c r="G107" s="271" t="s">
        <v>4773</v>
      </c>
      <c r="H107" s="271" t="s">
        <v>4774</v>
      </c>
      <c r="I107" s="477" t="s">
        <v>4775</v>
      </c>
      <c r="J107" s="478"/>
    </row>
    <row r="108" spans="2:10" ht="14.25" x14ac:dyDescent="0.15">
      <c r="B108" s="258"/>
      <c r="C108" s="464"/>
      <c r="D108" s="466"/>
      <c r="E108" s="464"/>
      <c r="F108" s="464"/>
      <c r="G108" s="271" t="s">
        <v>4899</v>
      </c>
      <c r="H108" s="271" t="s">
        <v>4837</v>
      </c>
      <c r="I108" s="140" t="s">
        <v>4900</v>
      </c>
      <c r="J108" s="252" t="s">
        <v>4901</v>
      </c>
    </row>
    <row r="109" spans="2:10" ht="14.25" x14ac:dyDescent="0.15">
      <c r="B109" s="258"/>
      <c r="C109" s="464"/>
      <c r="D109" s="466"/>
      <c r="E109" s="464"/>
      <c r="F109" s="464"/>
      <c r="G109" s="271" t="s">
        <v>4902</v>
      </c>
      <c r="H109" s="271" t="s">
        <v>4846</v>
      </c>
      <c r="I109" s="140" t="s">
        <v>4903</v>
      </c>
      <c r="J109" s="252" t="s">
        <v>4904</v>
      </c>
    </row>
    <row r="110" spans="2:10" ht="15" thickBot="1" x14ac:dyDescent="0.2">
      <c r="B110" s="258"/>
      <c r="C110" s="464"/>
      <c r="D110" s="466"/>
      <c r="E110" s="464"/>
      <c r="F110" s="464"/>
      <c r="G110" s="272"/>
      <c r="H110" s="272"/>
      <c r="I110" s="140" t="s">
        <v>4782</v>
      </c>
      <c r="J110" s="252">
        <v>33</v>
      </c>
    </row>
    <row r="111" spans="2:10" ht="14.25" x14ac:dyDescent="0.15">
      <c r="B111" s="258"/>
      <c r="C111" s="464"/>
      <c r="D111" s="466"/>
      <c r="E111" s="464"/>
      <c r="F111" s="464"/>
      <c r="G111" s="272"/>
      <c r="H111" s="272"/>
      <c r="I111" s="470" t="s">
        <v>4788</v>
      </c>
      <c r="J111" s="471"/>
    </row>
    <row r="112" spans="2:10" ht="14.25" x14ac:dyDescent="0.15">
      <c r="B112" s="258"/>
      <c r="C112" s="464"/>
      <c r="D112" s="466"/>
      <c r="E112" s="464"/>
      <c r="F112" s="464"/>
      <c r="G112" s="272"/>
      <c r="H112" s="272"/>
      <c r="I112" s="140" t="s">
        <v>4905</v>
      </c>
      <c r="J112" s="269" t="s">
        <v>4906</v>
      </c>
    </row>
    <row r="113" spans="2:10" ht="15" thickBot="1" x14ac:dyDescent="0.2">
      <c r="B113" s="258"/>
      <c r="C113" s="464"/>
      <c r="D113" s="466"/>
      <c r="E113" s="464"/>
      <c r="F113" s="464"/>
      <c r="G113" s="272"/>
      <c r="H113" s="272"/>
      <c r="I113" s="273" t="s">
        <v>4907</v>
      </c>
      <c r="J113" s="252" t="s">
        <v>4908</v>
      </c>
    </row>
    <row r="114" spans="2:10" ht="14.25" x14ac:dyDescent="0.15">
      <c r="B114" s="258"/>
      <c r="C114" s="464"/>
      <c r="D114" s="466"/>
      <c r="E114" s="464"/>
      <c r="F114" s="464"/>
      <c r="G114" s="140"/>
      <c r="H114" s="140"/>
      <c r="I114" s="470" t="s">
        <v>4909</v>
      </c>
      <c r="J114" s="471"/>
    </row>
    <row r="115" spans="2:10" ht="14.25" x14ac:dyDescent="0.15">
      <c r="B115" s="258"/>
      <c r="C115" s="464"/>
      <c r="D115" s="466"/>
      <c r="E115" s="464"/>
      <c r="F115" s="464"/>
      <c r="G115" s="140"/>
      <c r="H115" s="140"/>
      <c r="I115" s="274" t="s">
        <v>4910</v>
      </c>
      <c r="J115" s="252">
        <v>32.200000000000003</v>
      </c>
    </row>
    <row r="116" spans="2:10" ht="21.75" x14ac:dyDescent="0.15">
      <c r="B116" s="258"/>
      <c r="C116" s="464"/>
      <c r="D116" s="466"/>
      <c r="E116" s="464"/>
      <c r="F116" s="464"/>
      <c r="G116" s="140"/>
      <c r="H116" s="140"/>
      <c r="I116" s="282" t="s">
        <v>4911</v>
      </c>
      <c r="J116" s="252" t="s">
        <v>4912</v>
      </c>
    </row>
    <row r="117" spans="2:10" ht="21.75" x14ac:dyDescent="0.15">
      <c r="B117" s="284"/>
      <c r="C117" s="464"/>
      <c r="D117" s="466"/>
      <c r="E117" s="464"/>
      <c r="F117" s="464"/>
      <c r="G117" s="140"/>
      <c r="H117" s="140"/>
      <c r="I117" s="282" t="s">
        <v>4913</v>
      </c>
      <c r="J117" s="252" t="s">
        <v>4914</v>
      </c>
    </row>
    <row r="118" spans="2:10" ht="21.75" x14ac:dyDescent="0.15">
      <c r="B118" s="259" t="s">
        <v>4915</v>
      </c>
      <c r="C118" s="464"/>
      <c r="D118" s="466"/>
      <c r="E118" s="464"/>
      <c r="F118" s="464"/>
      <c r="G118" s="140"/>
      <c r="H118" s="140"/>
      <c r="I118" s="282" t="s">
        <v>4916</v>
      </c>
      <c r="J118" s="252" t="s">
        <v>4877</v>
      </c>
    </row>
    <row r="119" spans="2:10" ht="21.75" x14ac:dyDescent="0.15">
      <c r="B119" s="259" t="s">
        <v>4917</v>
      </c>
      <c r="C119" s="464"/>
      <c r="D119" s="466"/>
      <c r="E119" s="464"/>
      <c r="F119" s="464"/>
      <c r="G119" s="140"/>
      <c r="H119" s="140"/>
      <c r="I119" s="282" t="s">
        <v>4918</v>
      </c>
      <c r="J119" s="270" t="s">
        <v>4919</v>
      </c>
    </row>
    <row r="120" spans="2:10" ht="21.75" x14ac:dyDescent="0.15">
      <c r="B120" s="258"/>
      <c r="C120" s="464"/>
      <c r="D120" s="466"/>
      <c r="E120" s="464"/>
      <c r="F120" s="464"/>
      <c r="G120" s="140"/>
      <c r="H120" s="140"/>
      <c r="I120" s="282" t="s">
        <v>4920</v>
      </c>
      <c r="J120" s="270" t="s">
        <v>4921</v>
      </c>
    </row>
    <row r="121" spans="2:10" ht="21.75" x14ac:dyDescent="0.15">
      <c r="B121" s="258"/>
      <c r="C121" s="464"/>
      <c r="D121" s="466"/>
      <c r="E121" s="464"/>
      <c r="F121" s="464"/>
      <c r="G121" s="140"/>
      <c r="H121" s="140"/>
      <c r="I121" s="140" t="s">
        <v>4922</v>
      </c>
      <c r="J121" s="270" t="s">
        <v>4923</v>
      </c>
    </row>
    <row r="122" spans="2:10" ht="21.75" x14ac:dyDescent="0.15">
      <c r="B122" s="258"/>
      <c r="C122" s="464"/>
      <c r="D122" s="466"/>
      <c r="E122" s="464"/>
      <c r="F122" s="464"/>
      <c r="G122" s="140"/>
      <c r="H122" s="140"/>
      <c r="I122" s="140" t="s">
        <v>4924</v>
      </c>
      <c r="J122" s="270" t="s">
        <v>4925</v>
      </c>
    </row>
    <row r="123" spans="2:10" ht="21.75" x14ac:dyDescent="0.15">
      <c r="B123" s="258"/>
      <c r="C123" s="464"/>
      <c r="D123" s="466"/>
      <c r="E123" s="464"/>
      <c r="F123" s="464"/>
      <c r="G123" s="140"/>
      <c r="H123" s="140"/>
      <c r="I123" s="140" t="s">
        <v>4926</v>
      </c>
      <c r="J123" s="270" t="s">
        <v>4927</v>
      </c>
    </row>
    <row r="124" spans="2:10" ht="21.75" x14ac:dyDescent="0.15">
      <c r="B124" s="258"/>
      <c r="C124" s="464"/>
      <c r="D124" s="466"/>
      <c r="E124" s="464"/>
      <c r="F124" s="464"/>
      <c r="G124" s="140"/>
      <c r="H124" s="140"/>
      <c r="I124" s="140" t="s">
        <v>4928</v>
      </c>
      <c r="J124" s="270" t="s">
        <v>4929</v>
      </c>
    </row>
    <row r="125" spans="2:10" ht="22.5" thickBot="1" x14ac:dyDescent="0.2">
      <c r="B125" s="258"/>
      <c r="C125" s="464"/>
      <c r="D125" s="466"/>
      <c r="E125" s="464"/>
      <c r="F125" s="464"/>
      <c r="G125" s="140"/>
      <c r="H125" s="140"/>
      <c r="I125" s="140" t="s">
        <v>4930</v>
      </c>
      <c r="J125" s="270" t="s">
        <v>4931</v>
      </c>
    </row>
    <row r="126" spans="2:10" ht="14.25" x14ac:dyDescent="0.15">
      <c r="B126" s="258"/>
      <c r="C126" s="464"/>
      <c r="D126" s="466"/>
      <c r="E126" s="464"/>
      <c r="F126" s="464"/>
      <c r="G126" s="140"/>
      <c r="H126" s="140"/>
      <c r="I126" s="470" t="s">
        <v>4810</v>
      </c>
      <c r="J126" s="471"/>
    </row>
    <row r="127" spans="2:10" ht="14.25" x14ac:dyDescent="0.15">
      <c r="B127" s="258"/>
      <c r="C127" s="464"/>
      <c r="D127" s="466"/>
      <c r="E127" s="464"/>
      <c r="F127" s="464"/>
      <c r="G127" s="140"/>
      <c r="H127" s="140"/>
      <c r="I127" s="274" t="s">
        <v>4811</v>
      </c>
      <c r="J127" s="263"/>
    </row>
    <row r="128" spans="2:10" ht="14.25" x14ac:dyDescent="0.15">
      <c r="B128" s="258"/>
      <c r="C128" s="464"/>
      <c r="D128" s="466"/>
      <c r="E128" s="464"/>
      <c r="F128" s="464"/>
      <c r="G128" s="140"/>
      <c r="H128" s="140"/>
      <c r="I128" s="276" t="s">
        <v>4932</v>
      </c>
      <c r="J128" s="472" t="s">
        <v>4933</v>
      </c>
    </row>
    <row r="129" spans="2:10" ht="14.25" x14ac:dyDescent="0.15">
      <c r="B129" s="258"/>
      <c r="C129" s="464"/>
      <c r="D129" s="466"/>
      <c r="E129" s="464"/>
      <c r="F129" s="464"/>
      <c r="G129" s="140"/>
      <c r="H129" s="140"/>
      <c r="I129" s="276" t="s">
        <v>4934</v>
      </c>
      <c r="J129" s="472"/>
    </row>
    <row r="130" spans="2:10" ht="15" thickBot="1" x14ac:dyDescent="0.2">
      <c r="B130" s="260"/>
      <c r="C130" s="465"/>
      <c r="D130" s="467"/>
      <c r="E130" s="465"/>
      <c r="F130" s="465"/>
      <c r="G130" s="257"/>
      <c r="H130" s="257"/>
      <c r="I130" s="253" t="s">
        <v>4935</v>
      </c>
      <c r="J130" s="479"/>
    </row>
    <row r="131" spans="2:10" ht="15" thickBot="1" x14ac:dyDescent="0.2"/>
    <row r="132" spans="2:10" ht="14.25" x14ac:dyDescent="0.15">
      <c r="B132" s="456" t="s">
        <v>4760</v>
      </c>
      <c r="C132" s="458" t="s">
        <v>4761</v>
      </c>
      <c r="D132" s="458" t="s">
        <v>4762</v>
      </c>
      <c r="E132" s="458" t="s">
        <v>4763</v>
      </c>
      <c r="F132" s="458" t="s">
        <v>4818</v>
      </c>
      <c r="G132" s="458" t="s">
        <v>4765</v>
      </c>
      <c r="H132" s="458"/>
      <c r="I132" s="458" t="s">
        <v>4766</v>
      </c>
      <c r="J132" s="460" t="s">
        <v>4767</v>
      </c>
    </row>
    <row r="133" spans="2:10" ht="15" thickBot="1" x14ac:dyDescent="0.2">
      <c r="B133" s="457"/>
      <c r="C133" s="459"/>
      <c r="D133" s="459"/>
      <c r="E133" s="459"/>
      <c r="F133" s="459"/>
      <c r="G133" s="251" t="s">
        <v>4768</v>
      </c>
      <c r="H133" s="251" t="s">
        <v>4769</v>
      </c>
      <c r="I133" s="459"/>
      <c r="J133" s="461"/>
    </row>
    <row r="134" spans="2:10" ht="14.25" x14ac:dyDescent="0.15">
      <c r="B134" s="474" t="s">
        <v>4770</v>
      </c>
      <c r="C134" s="475" t="s">
        <v>4771</v>
      </c>
      <c r="D134" s="476">
        <v>43430</v>
      </c>
      <c r="E134" s="475" t="s">
        <v>1568</v>
      </c>
      <c r="F134" s="475" t="s">
        <v>4936</v>
      </c>
      <c r="G134" s="271" t="s">
        <v>4773</v>
      </c>
      <c r="H134" s="271" t="s">
        <v>4774</v>
      </c>
      <c r="I134" s="477" t="s">
        <v>4775</v>
      </c>
      <c r="J134" s="478"/>
    </row>
    <row r="135" spans="2:10" ht="14.25" x14ac:dyDescent="0.15">
      <c r="B135" s="462"/>
      <c r="C135" s="464"/>
      <c r="D135" s="466"/>
      <c r="E135" s="464"/>
      <c r="F135" s="464"/>
      <c r="G135" s="271" t="s">
        <v>4937</v>
      </c>
      <c r="H135" s="271" t="s">
        <v>4777</v>
      </c>
      <c r="I135" s="140" t="s">
        <v>4778</v>
      </c>
      <c r="J135" s="252" t="s">
        <v>4817</v>
      </c>
    </row>
    <row r="136" spans="2:10" ht="14.25" x14ac:dyDescent="0.15">
      <c r="B136" s="462"/>
      <c r="C136" s="464"/>
      <c r="D136" s="466"/>
      <c r="E136" s="464"/>
      <c r="F136" s="464"/>
      <c r="G136" s="272"/>
      <c r="H136" s="272"/>
      <c r="I136" s="140" t="s">
        <v>4938</v>
      </c>
      <c r="J136" s="252" t="s">
        <v>4817</v>
      </c>
    </row>
    <row r="137" spans="2:10" ht="15" thickBot="1" x14ac:dyDescent="0.2">
      <c r="B137" s="462"/>
      <c r="C137" s="464"/>
      <c r="D137" s="466"/>
      <c r="E137" s="464"/>
      <c r="F137" s="464"/>
      <c r="G137" s="272"/>
      <c r="H137" s="272"/>
      <c r="I137" s="140" t="s">
        <v>4782</v>
      </c>
      <c r="J137" s="252" t="s">
        <v>4939</v>
      </c>
    </row>
    <row r="138" spans="2:10" ht="14.25" x14ac:dyDescent="0.15">
      <c r="B138" s="462"/>
      <c r="C138" s="464"/>
      <c r="D138" s="466"/>
      <c r="E138" s="464"/>
      <c r="F138" s="464"/>
      <c r="G138" s="140"/>
      <c r="H138" s="140"/>
      <c r="I138" s="470" t="s">
        <v>4788</v>
      </c>
      <c r="J138" s="471"/>
    </row>
    <row r="139" spans="2:10" ht="15" thickBot="1" x14ac:dyDescent="0.2">
      <c r="B139" s="462"/>
      <c r="C139" s="464"/>
      <c r="D139" s="466"/>
      <c r="E139" s="464"/>
      <c r="F139" s="464"/>
      <c r="G139" s="140"/>
      <c r="H139" s="140"/>
      <c r="I139" s="140" t="s">
        <v>4940</v>
      </c>
      <c r="J139" s="252" t="s">
        <v>4941</v>
      </c>
    </row>
    <row r="140" spans="2:10" ht="14.25" x14ac:dyDescent="0.15">
      <c r="B140" s="462"/>
      <c r="C140" s="464"/>
      <c r="D140" s="466"/>
      <c r="E140" s="464"/>
      <c r="F140" s="464"/>
      <c r="G140" s="140"/>
      <c r="H140" s="140"/>
      <c r="I140" s="470" t="s">
        <v>4873</v>
      </c>
      <c r="J140" s="471"/>
    </row>
    <row r="141" spans="2:10" ht="14.25" x14ac:dyDescent="0.15">
      <c r="B141" s="462"/>
      <c r="C141" s="464"/>
      <c r="D141" s="466"/>
      <c r="E141" s="464"/>
      <c r="F141" s="464"/>
      <c r="G141" s="140"/>
      <c r="H141" s="140"/>
      <c r="I141" s="274" t="s">
        <v>4942</v>
      </c>
      <c r="J141" s="263"/>
    </row>
    <row r="142" spans="2:10" ht="21.75" x14ac:dyDescent="0.15">
      <c r="B142" s="462"/>
      <c r="C142" s="464"/>
      <c r="D142" s="466"/>
      <c r="E142" s="464"/>
      <c r="F142" s="464"/>
      <c r="G142" s="140"/>
      <c r="H142" s="140"/>
      <c r="I142" s="282" t="s">
        <v>4911</v>
      </c>
      <c r="J142" s="252" t="s">
        <v>4912</v>
      </c>
    </row>
    <row r="143" spans="2:10" ht="21.75" x14ac:dyDescent="0.15">
      <c r="B143" s="462"/>
      <c r="C143" s="464"/>
      <c r="D143" s="466"/>
      <c r="E143" s="464"/>
      <c r="F143" s="464"/>
      <c r="G143" s="140"/>
      <c r="H143" s="140"/>
      <c r="I143" s="282" t="s">
        <v>4913</v>
      </c>
      <c r="J143" s="252" t="s">
        <v>4914</v>
      </c>
    </row>
    <row r="144" spans="2:10" ht="21.75" x14ac:dyDescent="0.15">
      <c r="B144" s="462"/>
      <c r="C144" s="464"/>
      <c r="D144" s="466"/>
      <c r="E144" s="464"/>
      <c r="F144" s="464"/>
      <c r="G144" s="140"/>
      <c r="H144" s="140"/>
      <c r="I144" s="282" t="s">
        <v>4916</v>
      </c>
      <c r="J144" s="252" t="s">
        <v>4877</v>
      </c>
    </row>
    <row r="145" spans="2:10" ht="21.75" x14ac:dyDescent="0.15">
      <c r="B145" s="462"/>
      <c r="C145" s="464"/>
      <c r="D145" s="466"/>
      <c r="E145" s="464"/>
      <c r="F145" s="464"/>
      <c r="G145" s="140"/>
      <c r="H145" s="140"/>
      <c r="I145" s="282" t="s">
        <v>4918</v>
      </c>
      <c r="J145" s="270" t="s">
        <v>4943</v>
      </c>
    </row>
    <row r="146" spans="2:10" ht="21.75" x14ac:dyDescent="0.15">
      <c r="B146" s="462"/>
      <c r="C146" s="464"/>
      <c r="D146" s="466"/>
      <c r="E146" s="464"/>
      <c r="F146" s="464"/>
      <c r="G146" s="140"/>
      <c r="H146" s="140"/>
      <c r="I146" s="140" t="s">
        <v>4944</v>
      </c>
      <c r="J146" s="252" t="s">
        <v>4945</v>
      </c>
    </row>
    <row r="147" spans="2:10" ht="21.75" x14ac:dyDescent="0.15">
      <c r="B147" s="462"/>
      <c r="C147" s="464"/>
      <c r="D147" s="466"/>
      <c r="E147" s="464"/>
      <c r="F147" s="464"/>
      <c r="G147" s="140"/>
      <c r="H147" s="140"/>
      <c r="I147" s="140" t="s">
        <v>4946</v>
      </c>
      <c r="J147" s="252" t="s">
        <v>4947</v>
      </c>
    </row>
    <row r="148" spans="2:10" ht="21.75" x14ac:dyDescent="0.15">
      <c r="B148" s="462"/>
      <c r="C148" s="464"/>
      <c r="D148" s="466"/>
      <c r="E148" s="464"/>
      <c r="F148" s="464"/>
      <c r="G148" s="140"/>
      <c r="H148" s="140"/>
      <c r="I148" s="140" t="s">
        <v>4948</v>
      </c>
      <c r="J148" s="252" t="s">
        <v>4949</v>
      </c>
    </row>
    <row r="149" spans="2:10" ht="21.75" x14ac:dyDescent="0.15">
      <c r="B149" s="462"/>
      <c r="C149" s="464"/>
      <c r="D149" s="466"/>
      <c r="E149" s="464"/>
      <c r="F149" s="464"/>
      <c r="G149" s="140"/>
      <c r="H149" s="140"/>
      <c r="I149" s="140" t="s">
        <v>4926</v>
      </c>
      <c r="J149" s="270" t="s">
        <v>4950</v>
      </c>
    </row>
    <row r="150" spans="2:10" ht="21.75" x14ac:dyDescent="0.15">
      <c r="B150" s="462"/>
      <c r="C150" s="464"/>
      <c r="D150" s="466"/>
      <c r="E150" s="464"/>
      <c r="F150" s="464"/>
      <c r="G150" s="140"/>
      <c r="H150" s="140"/>
      <c r="I150" s="140" t="s">
        <v>4928</v>
      </c>
      <c r="J150" s="270" t="s">
        <v>4950</v>
      </c>
    </row>
    <row r="151" spans="2:10" ht="21.75" x14ac:dyDescent="0.15">
      <c r="B151" s="462"/>
      <c r="C151" s="464"/>
      <c r="D151" s="466"/>
      <c r="E151" s="464"/>
      <c r="F151" s="464"/>
      <c r="G151" s="140"/>
      <c r="H151" s="140"/>
      <c r="I151" s="140" t="s">
        <v>4951</v>
      </c>
      <c r="J151" s="270" t="s">
        <v>4952</v>
      </c>
    </row>
    <row r="152" spans="2:10" ht="21.75" x14ac:dyDescent="0.15">
      <c r="B152" s="462"/>
      <c r="C152" s="464"/>
      <c r="D152" s="466"/>
      <c r="E152" s="464"/>
      <c r="F152" s="464"/>
      <c r="G152" s="140"/>
      <c r="H152" s="140"/>
      <c r="I152" s="140" t="s">
        <v>4953</v>
      </c>
      <c r="J152" s="252" t="s">
        <v>4954</v>
      </c>
    </row>
    <row r="153" spans="2:10" ht="22.5" thickBot="1" x14ac:dyDescent="0.2">
      <c r="B153" s="462"/>
      <c r="C153" s="464"/>
      <c r="D153" s="466"/>
      <c r="E153" s="464"/>
      <c r="F153" s="464"/>
      <c r="G153" s="140"/>
      <c r="H153" s="140"/>
      <c r="I153" s="140" t="s">
        <v>4955</v>
      </c>
      <c r="J153" s="270" t="s">
        <v>4956</v>
      </c>
    </row>
    <row r="154" spans="2:10" ht="14.25" x14ac:dyDescent="0.15">
      <c r="B154" s="462"/>
      <c r="C154" s="464"/>
      <c r="D154" s="466"/>
      <c r="E154" s="464"/>
      <c r="F154" s="464"/>
      <c r="G154" s="140"/>
      <c r="H154" s="140"/>
      <c r="I154" s="470" t="s">
        <v>4810</v>
      </c>
      <c r="J154" s="471"/>
    </row>
    <row r="155" spans="2:10" ht="14.25" x14ac:dyDescent="0.15">
      <c r="B155" s="462"/>
      <c r="C155" s="464"/>
      <c r="D155" s="466"/>
      <c r="E155" s="464"/>
      <c r="F155" s="464"/>
      <c r="G155" s="140"/>
      <c r="H155" s="140"/>
      <c r="I155" s="274" t="s">
        <v>4811</v>
      </c>
      <c r="J155" s="263"/>
    </row>
    <row r="156" spans="2:10" ht="43.5" thickBot="1" x14ac:dyDescent="0.2">
      <c r="B156" s="463"/>
      <c r="C156" s="465"/>
      <c r="D156" s="467"/>
      <c r="E156" s="465"/>
      <c r="F156" s="465"/>
      <c r="G156" s="257"/>
      <c r="H156" s="257"/>
      <c r="I156" s="257" t="s">
        <v>4957</v>
      </c>
      <c r="J156" s="254" t="s">
        <v>4896</v>
      </c>
    </row>
    <row r="157" spans="2:10" ht="15" thickBot="1" x14ac:dyDescent="0.2"/>
    <row r="158" spans="2:10" ht="14.25" x14ac:dyDescent="0.15">
      <c r="B158" s="456" t="s">
        <v>4760</v>
      </c>
      <c r="C158" s="458" t="s">
        <v>4761</v>
      </c>
      <c r="D158" s="458" t="s">
        <v>4762</v>
      </c>
      <c r="E158" s="458" t="s">
        <v>4763</v>
      </c>
      <c r="F158" s="458" t="s">
        <v>4818</v>
      </c>
      <c r="G158" s="458" t="s">
        <v>4765</v>
      </c>
      <c r="H158" s="458"/>
      <c r="I158" s="458" t="s">
        <v>4766</v>
      </c>
      <c r="J158" s="460" t="s">
        <v>4767</v>
      </c>
    </row>
    <row r="159" spans="2:10" ht="15" thickBot="1" x14ac:dyDescent="0.2">
      <c r="B159" s="457"/>
      <c r="C159" s="459"/>
      <c r="D159" s="459"/>
      <c r="E159" s="459"/>
      <c r="F159" s="459"/>
      <c r="G159" s="251" t="s">
        <v>4768</v>
      </c>
      <c r="H159" s="251" t="s">
        <v>4769</v>
      </c>
      <c r="I159" s="459"/>
      <c r="J159" s="461"/>
    </row>
    <row r="160" spans="2:10" ht="14.25" x14ac:dyDescent="0.15">
      <c r="B160" s="474" t="s">
        <v>4770</v>
      </c>
      <c r="C160" s="475" t="s">
        <v>4958</v>
      </c>
      <c r="D160" s="476">
        <v>43430</v>
      </c>
      <c r="E160" s="475" t="s">
        <v>1568</v>
      </c>
      <c r="F160" s="475" t="s">
        <v>4936</v>
      </c>
      <c r="G160" s="271" t="s">
        <v>4773</v>
      </c>
      <c r="H160" s="271" t="s">
        <v>4774</v>
      </c>
      <c r="I160" s="477" t="s">
        <v>4775</v>
      </c>
      <c r="J160" s="478"/>
    </row>
    <row r="161" spans="2:10" ht="14.25" x14ac:dyDescent="0.15">
      <c r="B161" s="462"/>
      <c r="C161" s="464"/>
      <c r="D161" s="466"/>
      <c r="E161" s="464"/>
      <c r="F161" s="464"/>
      <c r="G161" s="271" t="s">
        <v>4959</v>
      </c>
      <c r="H161" s="271" t="s">
        <v>4960</v>
      </c>
      <c r="I161" s="140" t="s">
        <v>4868</v>
      </c>
      <c r="J161" s="252" t="s">
        <v>4961</v>
      </c>
    </row>
    <row r="162" spans="2:10" ht="14.25" x14ac:dyDescent="0.15">
      <c r="B162" s="462"/>
      <c r="C162" s="464"/>
      <c r="D162" s="466"/>
      <c r="E162" s="464"/>
      <c r="F162" s="464"/>
      <c r="G162" s="271" t="s">
        <v>4962</v>
      </c>
      <c r="H162" s="271" t="s">
        <v>4963</v>
      </c>
      <c r="I162" s="140" t="s">
        <v>4825</v>
      </c>
      <c r="J162" s="252" t="s">
        <v>4964</v>
      </c>
    </row>
    <row r="163" spans="2:10" ht="15" thickBot="1" x14ac:dyDescent="0.2">
      <c r="B163" s="462"/>
      <c r="C163" s="464"/>
      <c r="D163" s="466"/>
      <c r="E163" s="464"/>
      <c r="F163" s="464"/>
      <c r="G163" s="272" t="s">
        <v>4965</v>
      </c>
      <c r="H163" s="272" t="s">
        <v>4966</v>
      </c>
      <c r="I163" s="140" t="s">
        <v>4782</v>
      </c>
      <c r="J163" s="252" t="s">
        <v>4967</v>
      </c>
    </row>
    <row r="164" spans="2:10" ht="14.25" x14ac:dyDescent="0.15">
      <c r="B164" s="462"/>
      <c r="C164" s="464"/>
      <c r="D164" s="466"/>
      <c r="E164" s="464"/>
      <c r="F164" s="464"/>
      <c r="G164" s="140"/>
      <c r="H164" s="140"/>
      <c r="I164" s="470" t="s">
        <v>4873</v>
      </c>
      <c r="J164" s="471"/>
    </row>
    <row r="165" spans="2:10" ht="14.25" x14ac:dyDescent="0.15">
      <c r="B165" s="462"/>
      <c r="C165" s="464"/>
      <c r="D165" s="466"/>
      <c r="E165" s="464"/>
      <c r="F165" s="464"/>
      <c r="G165" s="140"/>
      <c r="H165" s="140"/>
      <c r="I165" s="274" t="s">
        <v>4828</v>
      </c>
      <c r="J165" s="269"/>
    </row>
    <row r="166" spans="2:10" ht="32.25" x14ac:dyDescent="0.15">
      <c r="B166" s="462"/>
      <c r="C166" s="464"/>
      <c r="D166" s="466"/>
      <c r="E166" s="464"/>
      <c r="F166" s="464"/>
      <c r="G166" s="140"/>
      <c r="H166" s="140"/>
      <c r="I166" s="276" t="s">
        <v>4829</v>
      </c>
      <c r="J166" s="252" t="s">
        <v>4968</v>
      </c>
    </row>
    <row r="167" spans="2:10" ht="22.5" thickBot="1" x14ac:dyDescent="0.2">
      <c r="B167" s="462"/>
      <c r="C167" s="464"/>
      <c r="D167" s="466"/>
      <c r="E167" s="464"/>
      <c r="F167" s="464"/>
      <c r="G167" s="140"/>
      <c r="H167" s="140"/>
      <c r="I167" s="140" t="s">
        <v>4969</v>
      </c>
      <c r="J167" s="269" t="s">
        <v>4970</v>
      </c>
    </row>
    <row r="168" spans="2:10" ht="14.25" x14ac:dyDescent="0.15">
      <c r="B168" s="462"/>
      <c r="C168" s="464"/>
      <c r="D168" s="466"/>
      <c r="E168" s="464"/>
      <c r="F168" s="464"/>
      <c r="G168" s="140"/>
      <c r="H168" s="6"/>
      <c r="I168" s="470" t="s">
        <v>4971</v>
      </c>
      <c r="J168" s="471"/>
    </row>
    <row r="169" spans="2:10" ht="14.25" x14ac:dyDescent="0.15">
      <c r="B169" s="462"/>
      <c r="C169" s="464"/>
      <c r="D169" s="466"/>
      <c r="E169" s="464"/>
      <c r="F169" s="464"/>
      <c r="G169" s="140"/>
      <c r="H169" s="140"/>
      <c r="I169" s="274" t="s">
        <v>4811</v>
      </c>
      <c r="J169" s="269"/>
    </row>
    <row r="170" spans="2:10" ht="53.25" x14ac:dyDescent="0.15">
      <c r="B170" s="462"/>
      <c r="C170" s="464"/>
      <c r="D170" s="466"/>
      <c r="E170" s="464"/>
      <c r="F170" s="464"/>
      <c r="G170" s="140"/>
      <c r="H170" s="140"/>
      <c r="I170" s="140" t="s">
        <v>4972</v>
      </c>
      <c r="J170" s="252" t="s">
        <v>4973</v>
      </c>
    </row>
    <row r="171" spans="2:10" ht="86.25" x14ac:dyDescent="0.15">
      <c r="B171" s="462"/>
      <c r="C171" s="464"/>
      <c r="D171" s="466"/>
      <c r="E171" s="464"/>
      <c r="F171" s="464"/>
      <c r="G171" s="140"/>
      <c r="H171" s="140"/>
      <c r="I171" s="271" t="s">
        <v>4974</v>
      </c>
      <c r="J171" s="252" t="s">
        <v>4975</v>
      </c>
    </row>
    <row r="172" spans="2:10" ht="14.25" x14ac:dyDescent="0.15">
      <c r="B172" s="462"/>
      <c r="C172" s="464"/>
      <c r="D172" s="466"/>
      <c r="E172" s="464"/>
      <c r="F172" s="464"/>
      <c r="G172" s="140"/>
      <c r="H172" s="140"/>
      <c r="I172" s="285" t="s">
        <v>4976</v>
      </c>
      <c r="J172" s="252"/>
    </row>
    <row r="173" spans="2:10" ht="53.25" x14ac:dyDescent="0.15">
      <c r="B173" s="462"/>
      <c r="C173" s="464"/>
      <c r="D173" s="466"/>
      <c r="E173" s="464"/>
      <c r="F173" s="464"/>
      <c r="G173" s="140"/>
      <c r="H173" s="140"/>
      <c r="I173" s="271" t="s">
        <v>4977</v>
      </c>
      <c r="J173" s="252" t="s">
        <v>4978</v>
      </c>
    </row>
    <row r="174" spans="2:10" ht="32.25" x14ac:dyDescent="0.15">
      <c r="B174" s="462"/>
      <c r="C174" s="464"/>
      <c r="D174" s="466"/>
      <c r="E174" s="464"/>
      <c r="F174" s="464"/>
      <c r="G174" s="140"/>
      <c r="H174" s="140"/>
      <c r="I174" s="271" t="s">
        <v>4979</v>
      </c>
      <c r="J174" s="252"/>
    </row>
    <row r="175" spans="2:10" ht="14.25" x14ac:dyDescent="0.15">
      <c r="B175" s="462"/>
      <c r="C175" s="464"/>
      <c r="D175" s="466"/>
      <c r="E175" s="464"/>
      <c r="F175" s="464"/>
      <c r="G175" s="140"/>
      <c r="H175" s="140"/>
      <c r="I175" s="271" t="s">
        <v>4980</v>
      </c>
      <c r="J175" s="252"/>
    </row>
    <row r="176" spans="2:10" ht="15" thickBot="1" x14ac:dyDescent="0.2">
      <c r="B176" s="463"/>
      <c r="C176" s="465"/>
      <c r="D176" s="467"/>
      <c r="E176" s="465"/>
      <c r="F176" s="465"/>
      <c r="G176" s="257"/>
      <c r="H176" s="257"/>
      <c r="I176" s="253" t="s">
        <v>4928</v>
      </c>
      <c r="J176" s="254"/>
    </row>
    <row r="177" spans="2:10" ht="15" thickBot="1" x14ac:dyDescent="0.2"/>
    <row r="178" spans="2:10" ht="14.25" x14ac:dyDescent="0.15">
      <c r="B178" s="456" t="s">
        <v>4760</v>
      </c>
      <c r="C178" s="458" t="s">
        <v>4761</v>
      </c>
      <c r="D178" s="458" t="s">
        <v>4762</v>
      </c>
      <c r="E178" s="458" t="s">
        <v>4763</v>
      </c>
      <c r="F178" s="458" t="s">
        <v>4818</v>
      </c>
      <c r="G178" s="458" t="s">
        <v>4765</v>
      </c>
      <c r="H178" s="458"/>
      <c r="I178" s="458" t="s">
        <v>4766</v>
      </c>
      <c r="J178" s="460" t="s">
        <v>4767</v>
      </c>
    </row>
    <row r="179" spans="2:10" ht="15" thickBot="1" x14ac:dyDescent="0.2">
      <c r="B179" s="457"/>
      <c r="C179" s="459"/>
      <c r="D179" s="459"/>
      <c r="E179" s="459"/>
      <c r="F179" s="459"/>
      <c r="G179" s="251" t="s">
        <v>4768</v>
      </c>
      <c r="H179" s="251" t="s">
        <v>4769</v>
      </c>
      <c r="I179" s="459"/>
      <c r="J179" s="461"/>
    </row>
    <row r="180" spans="2:10" ht="14.25" x14ac:dyDescent="0.15">
      <c r="B180" s="474" t="s">
        <v>4770</v>
      </c>
      <c r="C180" s="475" t="s">
        <v>4771</v>
      </c>
      <c r="D180" s="476">
        <v>43991</v>
      </c>
      <c r="E180" s="475" t="s">
        <v>1568</v>
      </c>
      <c r="F180" s="475" t="s">
        <v>787</v>
      </c>
      <c r="G180" s="271" t="s">
        <v>4773</v>
      </c>
      <c r="H180" s="271" t="s">
        <v>4774</v>
      </c>
      <c r="I180" s="477" t="s">
        <v>4775</v>
      </c>
      <c r="J180" s="478"/>
    </row>
    <row r="181" spans="2:10" ht="14.25" x14ac:dyDescent="0.15">
      <c r="B181" s="462"/>
      <c r="C181" s="464"/>
      <c r="D181" s="466"/>
      <c r="E181" s="464"/>
      <c r="F181" s="464"/>
      <c r="G181" s="271" t="s">
        <v>4981</v>
      </c>
      <c r="H181" s="286" t="s">
        <v>4982</v>
      </c>
      <c r="I181" s="140" t="s">
        <v>4983</v>
      </c>
      <c r="J181" s="252" t="s">
        <v>4984</v>
      </c>
    </row>
    <row r="182" spans="2:10" ht="14.25" x14ac:dyDescent="0.15">
      <c r="B182" s="462"/>
      <c r="C182" s="464"/>
      <c r="D182" s="466"/>
      <c r="E182" s="464"/>
      <c r="F182" s="464"/>
      <c r="G182" s="272" t="s">
        <v>4985</v>
      </c>
      <c r="H182" s="286" t="s">
        <v>4982</v>
      </c>
      <c r="I182" s="140" t="s">
        <v>4825</v>
      </c>
      <c r="J182" s="252" t="s">
        <v>4984</v>
      </c>
    </row>
    <row r="183" spans="2:10" ht="15" thickBot="1" x14ac:dyDescent="0.2">
      <c r="B183" s="462"/>
      <c r="C183" s="464"/>
      <c r="D183" s="466"/>
      <c r="E183" s="464"/>
      <c r="F183" s="464"/>
      <c r="G183" s="140"/>
      <c r="H183" s="272"/>
      <c r="I183" s="140" t="s">
        <v>4782</v>
      </c>
      <c r="J183" s="269" t="s">
        <v>4986</v>
      </c>
    </row>
    <row r="184" spans="2:10" ht="14.25" x14ac:dyDescent="0.15">
      <c r="B184" s="462"/>
      <c r="C184" s="464"/>
      <c r="D184" s="466"/>
      <c r="E184" s="464"/>
      <c r="F184" s="464"/>
      <c r="G184" s="140"/>
      <c r="H184" s="140"/>
      <c r="I184" s="470" t="s">
        <v>4788</v>
      </c>
      <c r="J184" s="471"/>
    </row>
    <row r="185" spans="2:10" ht="14.25" x14ac:dyDescent="0.15">
      <c r="B185" s="462"/>
      <c r="C185" s="464"/>
      <c r="D185" s="466"/>
      <c r="E185" s="464"/>
      <c r="F185" s="464"/>
      <c r="G185" s="140"/>
      <c r="H185" s="140"/>
      <c r="I185" s="140" t="s">
        <v>4905</v>
      </c>
      <c r="J185" s="252" t="s">
        <v>4987</v>
      </c>
    </row>
    <row r="186" spans="2:10" ht="15" thickBot="1" x14ac:dyDescent="0.2">
      <c r="B186" s="462"/>
      <c r="C186" s="464"/>
      <c r="D186" s="466"/>
      <c r="E186" s="464"/>
      <c r="F186" s="464"/>
      <c r="G186" s="140"/>
      <c r="H186" s="140"/>
      <c r="I186" s="273" t="s">
        <v>4988</v>
      </c>
      <c r="J186" s="252" t="s">
        <v>4989</v>
      </c>
    </row>
    <row r="187" spans="2:10" ht="14.25" x14ac:dyDescent="0.15">
      <c r="B187" s="462"/>
      <c r="C187" s="464"/>
      <c r="D187" s="466"/>
      <c r="E187" s="464"/>
      <c r="F187" s="464"/>
      <c r="G187" s="140"/>
      <c r="H187" s="140"/>
      <c r="I187" s="470" t="s">
        <v>4990</v>
      </c>
      <c r="J187" s="471"/>
    </row>
    <row r="188" spans="2:10" ht="14.25" x14ac:dyDescent="0.15">
      <c r="B188" s="462"/>
      <c r="C188" s="464"/>
      <c r="D188" s="466"/>
      <c r="E188" s="464"/>
      <c r="F188" s="464"/>
      <c r="G188" s="140"/>
      <c r="H188" s="140"/>
      <c r="I188" s="274" t="s">
        <v>4991</v>
      </c>
      <c r="J188" s="269" t="s">
        <v>4992</v>
      </c>
    </row>
    <row r="189" spans="2:10" ht="21.75" x14ac:dyDescent="0.15">
      <c r="B189" s="462"/>
      <c r="C189" s="464"/>
      <c r="D189" s="466"/>
      <c r="E189" s="464"/>
      <c r="F189" s="464"/>
      <c r="G189" s="140"/>
      <c r="H189" s="140"/>
      <c r="I189" s="282" t="s">
        <v>4993</v>
      </c>
      <c r="J189" s="472" t="s">
        <v>4994</v>
      </c>
    </row>
    <row r="190" spans="2:10" ht="14.25" x14ac:dyDescent="0.15">
      <c r="B190" s="462"/>
      <c r="C190" s="464"/>
      <c r="D190" s="466"/>
      <c r="E190" s="464"/>
      <c r="F190" s="464"/>
      <c r="G190" s="140"/>
      <c r="H190" s="140"/>
      <c r="I190" s="140" t="s">
        <v>4995</v>
      </c>
      <c r="J190" s="472"/>
    </row>
    <row r="191" spans="2:10" ht="14.25" x14ac:dyDescent="0.15">
      <c r="B191" s="462"/>
      <c r="C191" s="464"/>
      <c r="D191" s="466"/>
      <c r="E191" s="464"/>
      <c r="F191" s="464"/>
      <c r="G191" s="140"/>
      <c r="H191" s="140"/>
      <c r="I191" s="140" t="s">
        <v>4996</v>
      </c>
      <c r="J191" s="472"/>
    </row>
    <row r="192" spans="2:10" ht="14.25" x14ac:dyDescent="0.15">
      <c r="B192" s="462"/>
      <c r="C192" s="464"/>
      <c r="D192" s="466"/>
      <c r="E192" s="464"/>
      <c r="F192" s="464"/>
      <c r="G192" s="140"/>
      <c r="H192" s="140"/>
      <c r="I192" s="140" t="s">
        <v>4997</v>
      </c>
      <c r="J192" s="472"/>
    </row>
    <row r="193" spans="2:10" ht="14.25" x14ac:dyDescent="0.15">
      <c r="B193" s="462"/>
      <c r="C193" s="464"/>
      <c r="D193" s="466"/>
      <c r="E193" s="464"/>
      <c r="F193" s="464"/>
      <c r="G193" s="140"/>
      <c r="H193" s="140"/>
      <c r="I193" s="140" t="s">
        <v>4998</v>
      </c>
      <c r="J193" s="472"/>
    </row>
    <row r="194" spans="2:10" ht="14.25" x14ac:dyDescent="0.15">
      <c r="B194" s="462"/>
      <c r="C194" s="464"/>
      <c r="D194" s="466"/>
      <c r="E194" s="464"/>
      <c r="F194" s="464"/>
      <c r="G194" s="140"/>
      <c r="H194" s="140"/>
      <c r="I194" s="140" t="s">
        <v>4999</v>
      </c>
      <c r="J194" s="472"/>
    </row>
    <row r="195" spans="2:10" ht="14.25" x14ac:dyDescent="0.15">
      <c r="B195" s="462"/>
      <c r="C195" s="464"/>
      <c r="D195" s="466"/>
      <c r="E195" s="464"/>
      <c r="F195" s="464"/>
      <c r="G195" s="140"/>
      <c r="H195" s="140"/>
      <c r="I195" s="140" t="s">
        <v>5000</v>
      </c>
      <c r="J195" s="472"/>
    </row>
    <row r="196" spans="2:10" ht="15" thickBot="1" x14ac:dyDescent="0.2">
      <c r="B196" s="462"/>
      <c r="C196" s="464"/>
      <c r="D196" s="466"/>
      <c r="E196" s="464"/>
      <c r="F196" s="464"/>
      <c r="G196" s="140"/>
      <c r="H196" s="140"/>
      <c r="I196" s="140" t="s">
        <v>5001</v>
      </c>
      <c r="J196" s="472"/>
    </row>
    <row r="197" spans="2:10" ht="14.25" x14ac:dyDescent="0.15">
      <c r="B197" s="462"/>
      <c r="C197" s="464"/>
      <c r="D197" s="466"/>
      <c r="E197" s="464"/>
      <c r="F197" s="464"/>
      <c r="G197" s="140"/>
      <c r="H197" s="140"/>
      <c r="I197" s="470" t="s">
        <v>4810</v>
      </c>
      <c r="J197" s="471"/>
    </row>
    <row r="198" spans="2:10" ht="14.25" x14ac:dyDescent="0.15">
      <c r="B198" s="462"/>
      <c r="C198" s="464"/>
      <c r="D198" s="466"/>
      <c r="E198" s="464"/>
      <c r="F198" s="464"/>
      <c r="G198" s="140"/>
      <c r="H198" s="140"/>
      <c r="I198" s="274" t="s">
        <v>4811</v>
      </c>
      <c r="J198" s="263"/>
    </row>
    <row r="199" spans="2:10" ht="33" thickBot="1" x14ac:dyDescent="0.2">
      <c r="B199" s="463"/>
      <c r="C199" s="465"/>
      <c r="D199" s="467"/>
      <c r="E199" s="465"/>
      <c r="F199" s="465"/>
      <c r="G199" s="257"/>
      <c r="H199" s="257"/>
      <c r="I199" s="257" t="s">
        <v>5002</v>
      </c>
      <c r="J199" s="254" t="s">
        <v>5003</v>
      </c>
    </row>
    <row r="200" spans="2:10" ht="15" thickBot="1" x14ac:dyDescent="0.2"/>
    <row r="201" spans="2:10" ht="14.25" x14ac:dyDescent="0.15">
      <c r="B201" s="456" t="s">
        <v>4760</v>
      </c>
      <c r="C201" s="458" t="s">
        <v>4761</v>
      </c>
      <c r="D201" s="458" t="s">
        <v>4762</v>
      </c>
      <c r="E201" s="458" t="s">
        <v>4763</v>
      </c>
      <c r="F201" s="458" t="s">
        <v>4863</v>
      </c>
      <c r="G201" s="458" t="s">
        <v>4765</v>
      </c>
      <c r="H201" s="458"/>
      <c r="I201" s="458" t="s">
        <v>4766</v>
      </c>
      <c r="J201" s="460" t="s">
        <v>4767</v>
      </c>
    </row>
    <row r="202" spans="2:10" ht="15" thickBot="1" x14ac:dyDescent="0.2">
      <c r="B202" s="457"/>
      <c r="C202" s="459"/>
      <c r="D202" s="459"/>
      <c r="E202" s="459"/>
      <c r="F202" s="459"/>
      <c r="G202" s="251" t="s">
        <v>4768</v>
      </c>
      <c r="H202" s="251" t="s">
        <v>4769</v>
      </c>
      <c r="I202" s="459"/>
      <c r="J202" s="461"/>
    </row>
    <row r="203" spans="2:10" ht="14.25" x14ac:dyDescent="0.15">
      <c r="B203" s="462" t="s">
        <v>4770</v>
      </c>
      <c r="C203" s="464" t="s">
        <v>5004</v>
      </c>
      <c r="D203" s="466">
        <v>43234</v>
      </c>
      <c r="E203" s="464" t="s">
        <v>5005</v>
      </c>
      <c r="F203" s="464" t="s">
        <v>5006</v>
      </c>
      <c r="G203" s="271" t="s">
        <v>4773</v>
      </c>
      <c r="H203" s="271" t="s">
        <v>4774</v>
      </c>
      <c r="I203" s="468" t="s">
        <v>4775</v>
      </c>
      <c r="J203" s="469"/>
    </row>
    <row r="204" spans="2:10" ht="14.25" x14ac:dyDescent="0.15">
      <c r="B204" s="462"/>
      <c r="C204" s="464"/>
      <c r="D204" s="466"/>
      <c r="E204" s="464"/>
      <c r="F204" s="464"/>
      <c r="G204" s="271" t="s">
        <v>5007</v>
      </c>
      <c r="H204" s="271" t="s">
        <v>5008</v>
      </c>
      <c r="I204" s="140" t="s">
        <v>4778</v>
      </c>
      <c r="J204" s="252" t="s">
        <v>4826</v>
      </c>
    </row>
    <row r="205" spans="2:10" ht="14.25" x14ac:dyDescent="0.15">
      <c r="B205" s="462"/>
      <c r="C205" s="464"/>
      <c r="D205" s="466"/>
      <c r="E205" s="464"/>
      <c r="F205" s="464"/>
      <c r="G205" s="272" t="s">
        <v>5009</v>
      </c>
      <c r="H205" s="272" t="s">
        <v>4846</v>
      </c>
      <c r="I205" s="140" t="s">
        <v>5010</v>
      </c>
      <c r="J205" s="252" t="s">
        <v>5011</v>
      </c>
    </row>
    <row r="206" spans="2:10" ht="15" thickBot="1" x14ac:dyDescent="0.2">
      <c r="B206" s="462"/>
      <c r="C206" s="464"/>
      <c r="D206" s="466"/>
      <c r="E206" s="464"/>
      <c r="F206" s="464"/>
      <c r="G206" s="272"/>
      <c r="H206" s="272"/>
      <c r="I206" s="140" t="s">
        <v>4782</v>
      </c>
      <c r="J206" s="252" t="s">
        <v>5012</v>
      </c>
    </row>
    <row r="207" spans="2:10" ht="14.25" x14ac:dyDescent="0.15">
      <c r="B207" s="462"/>
      <c r="C207" s="464"/>
      <c r="D207" s="466"/>
      <c r="E207" s="464"/>
      <c r="F207" s="464"/>
      <c r="G207" s="140"/>
      <c r="H207" s="140"/>
      <c r="I207" s="470" t="s">
        <v>4788</v>
      </c>
      <c r="J207" s="471"/>
    </row>
    <row r="208" spans="2:10" ht="14.25" x14ac:dyDescent="0.15">
      <c r="B208" s="462"/>
      <c r="C208" s="464"/>
      <c r="D208" s="466"/>
      <c r="E208" s="464"/>
      <c r="F208" s="464"/>
      <c r="G208" s="140"/>
      <c r="H208" s="140"/>
      <c r="I208" s="287" t="s">
        <v>5013</v>
      </c>
      <c r="J208" s="252" t="s">
        <v>5014</v>
      </c>
    </row>
    <row r="209" spans="2:10" ht="15" thickBot="1" x14ac:dyDescent="0.2">
      <c r="B209" s="462"/>
      <c r="C209" s="464"/>
      <c r="D209" s="466"/>
      <c r="E209" s="464"/>
      <c r="F209" s="464"/>
      <c r="G209" s="140"/>
      <c r="H209" s="140"/>
      <c r="I209" s="288" t="s">
        <v>5015</v>
      </c>
      <c r="J209" s="269" t="s">
        <v>5016</v>
      </c>
    </row>
    <row r="210" spans="2:10" ht="14.25" x14ac:dyDescent="0.15">
      <c r="B210" s="462"/>
      <c r="C210" s="464"/>
      <c r="D210" s="466"/>
      <c r="E210" s="464"/>
      <c r="F210" s="464"/>
      <c r="G210" s="140"/>
      <c r="H210" s="140"/>
      <c r="I210" s="470" t="s">
        <v>5017</v>
      </c>
      <c r="J210" s="471"/>
    </row>
    <row r="211" spans="2:10" ht="14.25" x14ac:dyDescent="0.15">
      <c r="B211" s="462"/>
      <c r="C211" s="464"/>
      <c r="D211" s="466"/>
      <c r="E211" s="464"/>
      <c r="F211" s="464"/>
      <c r="G211" s="140"/>
      <c r="H211" s="140"/>
      <c r="I211" s="274" t="s">
        <v>4828</v>
      </c>
      <c r="J211" s="472" t="s">
        <v>5018</v>
      </c>
    </row>
    <row r="212" spans="2:10" ht="32.25" x14ac:dyDescent="0.15">
      <c r="B212" s="462"/>
      <c r="C212" s="464"/>
      <c r="D212" s="466"/>
      <c r="E212" s="464"/>
      <c r="F212" s="464"/>
      <c r="G212" s="140"/>
      <c r="H212" s="140"/>
      <c r="I212" s="140" t="s">
        <v>5019</v>
      </c>
      <c r="J212" s="472"/>
    </row>
    <row r="213" spans="2:10" ht="14.25" x14ac:dyDescent="0.15">
      <c r="B213" s="462"/>
      <c r="C213" s="464"/>
      <c r="D213" s="466"/>
      <c r="E213" s="464"/>
      <c r="F213" s="464"/>
      <c r="G213" s="140"/>
      <c r="H213" s="140"/>
      <c r="I213" s="140" t="s">
        <v>5020</v>
      </c>
      <c r="J213" s="472"/>
    </row>
    <row r="214" spans="2:10" ht="14.25" x14ac:dyDescent="0.15">
      <c r="B214" s="462"/>
      <c r="C214" s="464"/>
      <c r="D214" s="466"/>
      <c r="E214" s="464"/>
      <c r="F214" s="464"/>
      <c r="G214" s="140"/>
      <c r="H214" s="140"/>
      <c r="I214" s="140" t="s">
        <v>5021</v>
      </c>
      <c r="J214" s="472"/>
    </row>
    <row r="215" spans="2:10" ht="14.25" x14ac:dyDescent="0.15">
      <c r="B215" s="462"/>
      <c r="C215" s="464"/>
      <c r="D215" s="466"/>
      <c r="E215" s="464"/>
      <c r="F215" s="464"/>
      <c r="G215" s="140"/>
      <c r="H215" s="140"/>
      <c r="I215" s="140" t="s">
        <v>4924</v>
      </c>
      <c r="J215" s="472"/>
    </row>
    <row r="216" spans="2:10" ht="14.25" x14ac:dyDescent="0.15">
      <c r="B216" s="462"/>
      <c r="C216" s="464"/>
      <c r="D216" s="466"/>
      <c r="E216" s="464"/>
      <c r="F216" s="464"/>
      <c r="G216" s="140"/>
      <c r="H216" s="140"/>
      <c r="I216" s="140" t="s">
        <v>4884</v>
      </c>
      <c r="J216" s="472"/>
    </row>
    <row r="217" spans="2:10" ht="14.25" x14ac:dyDescent="0.15">
      <c r="B217" s="462"/>
      <c r="C217" s="464"/>
      <c r="D217" s="466"/>
      <c r="E217" s="464"/>
      <c r="F217" s="464"/>
      <c r="G217" s="140"/>
      <c r="H217" s="140"/>
      <c r="I217" s="140" t="s">
        <v>4886</v>
      </c>
      <c r="J217" s="472"/>
    </row>
    <row r="218" spans="2:10" ht="14.25" x14ac:dyDescent="0.15">
      <c r="B218" s="462"/>
      <c r="C218" s="464"/>
      <c r="D218" s="466"/>
      <c r="E218" s="464"/>
      <c r="F218" s="464"/>
      <c r="G218" s="140"/>
      <c r="H218" s="140"/>
      <c r="I218" s="140" t="s">
        <v>4888</v>
      </c>
      <c r="J218" s="472"/>
    </row>
    <row r="219" spans="2:10" ht="14.25" x14ac:dyDescent="0.15">
      <c r="B219" s="462"/>
      <c r="C219" s="464"/>
      <c r="D219" s="466"/>
      <c r="E219" s="464"/>
      <c r="F219" s="464"/>
      <c r="G219" s="140"/>
      <c r="H219" s="140"/>
      <c r="I219" s="140" t="s">
        <v>5022</v>
      </c>
      <c r="J219" s="472"/>
    </row>
    <row r="220" spans="2:10" ht="15" thickBot="1" x14ac:dyDescent="0.2">
      <c r="B220" s="462"/>
      <c r="C220" s="464"/>
      <c r="D220" s="466"/>
      <c r="E220" s="464"/>
      <c r="F220" s="464"/>
      <c r="G220" s="140"/>
      <c r="H220" s="140"/>
      <c r="I220" s="140" t="s">
        <v>5023</v>
      </c>
      <c r="J220" s="473"/>
    </row>
    <row r="221" spans="2:10" ht="14.25" x14ac:dyDescent="0.15">
      <c r="B221" s="462"/>
      <c r="C221" s="464"/>
      <c r="D221" s="466"/>
      <c r="E221" s="464"/>
      <c r="F221" s="464"/>
      <c r="G221" s="140"/>
      <c r="H221" s="140"/>
      <c r="I221" s="470" t="s">
        <v>5024</v>
      </c>
      <c r="J221" s="471"/>
    </row>
    <row r="222" spans="2:10" ht="14.25" x14ac:dyDescent="0.15">
      <c r="B222" s="462"/>
      <c r="C222" s="464"/>
      <c r="D222" s="466"/>
      <c r="E222" s="464"/>
      <c r="F222" s="464"/>
      <c r="G222" s="140"/>
      <c r="H222" s="140"/>
      <c r="I222" s="274" t="s">
        <v>4811</v>
      </c>
      <c r="J222" s="263"/>
    </row>
    <row r="223" spans="2:10" ht="54" thickBot="1" x14ac:dyDescent="0.2">
      <c r="B223" s="463"/>
      <c r="C223" s="465"/>
      <c r="D223" s="467"/>
      <c r="E223" s="465"/>
      <c r="F223" s="465"/>
      <c r="G223" s="257"/>
      <c r="H223" s="257"/>
      <c r="I223" s="256" t="s">
        <v>5025</v>
      </c>
      <c r="J223" s="254" t="s">
        <v>5018</v>
      </c>
    </row>
  </sheetData>
  <mergeCells count="172">
    <mergeCell ref="I4:I5"/>
    <mergeCell ref="J4:J5"/>
    <mergeCell ref="B6:B30"/>
    <mergeCell ref="C6:C30"/>
    <mergeCell ref="D6:D30"/>
    <mergeCell ref="E6:E30"/>
    <mergeCell ref="F6:F30"/>
    <mergeCell ref="I6:J6"/>
    <mergeCell ref="I10:J10"/>
    <mergeCell ref="J11:J12"/>
    <mergeCell ref="B4:B5"/>
    <mergeCell ref="C4:C5"/>
    <mergeCell ref="D4:D5"/>
    <mergeCell ref="E4:E5"/>
    <mergeCell ref="F4:F5"/>
    <mergeCell ref="G4:H4"/>
    <mergeCell ref="I13:J13"/>
    <mergeCell ref="I17:J17"/>
    <mergeCell ref="I26:J26"/>
    <mergeCell ref="B32:B33"/>
    <mergeCell ref="C32:C33"/>
    <mergeCell ref="D32:D33"/>
    <mergeCell ref="E32:E33"/>
    <mergeCell ref="F32:F33"/>
    <mergeCell ref="G32:H32"/>
    <mergeCell ref="I32:I33"/>
    <mergeCell ref="J32:J33"/>
    <mergeCell ref="B34:B44"/>
    <mergeCell ref="C34:C44"/>
    <mergeCell ref="D34:D44"/>
    <mergeCell ref="E34:E44"/>
    <mergeCell ref="F34:F44"/>
    <mergeCell ref="I34:J34"/>
    <mergeCell ref="I38:J38"/>
    <mergeCell ref="I41:J41"/>
    <mergeCell ref="I46:I47"/>
    <mergeCell ref="J46:J47"/>
    <mergeCell ref="B48:B58"/>
    <mergeCell ref="C48:C58"/>
    <mergeCell ref="D48:D58"/>
    <mergeCell ref="E48:E58"/>
    <mergeCell ref="F48:F58"/>
    <mergeCell ref="I48:J48"/>
    <mergeCell ref="I52:J52"/>
    <mergeCell ref="I55:J55"/>
    <mergeCell ref="B46:B47"/>
    <mergeCell ref="C46:C47"/>
    <mergeCell ref="D46:D47"/>
    <mergeCell ref="E46:E47"/>
    <mergeCell ref="F46:F47"/>
    <mergeCell ref="G46:H46"/>
    <mergeCell ref="I60:I61"/>
    <mergeCell ref="J60:J61"/>
    <mergeCell ref="B62:B80"/>
    <mergeCell ref="C62:C80"/>
    <mergeCell ref="D62:D80"/>
    <mergeCell ref="E62:E80"/>
    <mergeCell ref="F62:F80"/>
    <mergeCell ref="I62:J62"/>
    <mergeCell ref="I65:J65"/>
    <mergeCell ref="I67:J67"/>
    <mergeCell ref="B60:B61"/>
    <mergeCell ref="C60:C61"/>
    <mergeCell ref="D60:D61"/>
    <mergeCell ref="E60:E61"/>
    <mergeCell ref="F60:F61"/>
    <mergeCell ref="G60:H60"/>
    <mergeCell ref="I84:J84"/>
    <mergeCell ref="I87:J87"/>
    <mergeCell ref="I89:J89"/>
    <mergeCell ref="I101:J101"/>
    <mergeCell ref="J68:J73"/>
    <mergeCell ref="I78:J78"/>
    <mergeCell ref="B82:B83"/>
    <mergeCell ref="C82:C83"/>
    <mergeCell ref="D82:D83"/>
    <mergeCell ref="E82:E83"/>
    <mergeCell ref="F82:F83"/>
    <mergeCell ref="G82:H82"/>
    <mergeCell ref="I82:I83"/>
    <mergeCell ref="J82:J83"/>
    <mergeCell ref="B105:B106"/>
    <mergeCell ref="C105:C106"/>
    <mergeCell ref="D105:D106"/>
    <mergeCell ref="E105:E106"/>
    <mergeCell ref="F105:F106"/>
    <mergeCell ref="G105:H105"/>
    <mergeCell ref="B84:B103"/>
    <mergeCell ref="C84:C103"/>
    <mergeCell ref="D84:D103"/>
    <mergeCell ref="E84:E103"/>
    <mergeCell ref="F84:F103"/>
    <mergeCell ref="I105:I106"/>
    <mergeCell ref="J105:J106"/>
    <mergeCell ref="C107:C130"/>
    <mergeCell ref="D107:D130"/>
    <mergeCell ref="E107:E130"/>
    <mergeCell ref="F107:F130"/>
    <mergeCell ref="I107:J107"/>
    <mergeCell ref="I111:J111"/>
    <mergeCell ref="I114:J114"/>
    <mergeCell ref="I126:J126"/>
    <mergeCell ref="J128:J130"/>
    <mergeCell ref="B132:B133"/>
    <mergeCell ref="C132:C133"/>
    <mergeCell ref="D132:D133"/>
    <mergeCell ref="E132:E133"/>
    <mergeCell ref="F132:F133"/>
    <mergeCell ref="G132:H132"/>
    <mergeCell ref="I132:I133"/>
    <mergeCell ref="J132:J133"/>
    <mergeCell ref="B134:B156"/>
    <mergeCell ref="C134:C156"/>
    <mergeCell ref="D134:D156"/>
    <mergeCell ref="E134:E156"/>
    <mergeCell ref="F134:F156"/>
    <mergeCell ref="I134:J134"/>
    <mergeCell ref="I138:J138"/>
    <mergeCell ref="I140:J140"/>
    <mergeCell ref="I154:J154"/>
    <mergeCell ref="I158:I159"/>
    <mergeCell ref="J158:J159"/>
    <mergeCell ref="B160:B176"/>
    <mergeCell ref="C160:C176"/>
    <mergeCell ref="D160:D176"/>
    <mergeCell ref="E160:E176"/>
    <mergeCell ref="F160:F176"/>
    <mergeCell ref="I160:J160"/>
    <mergeCell ref="I164:J164"/>
    <mergeCell ref="I168:J168"/>
    <mergeCell ref="B158:B159"/>
    <mergeCell ref="C158:C159"/>
    <mergeCell ref="D158:D159"/>
    <mergeCell ref="E158:E159"/>
    <mergeCell ref="F158:F159"/>
    <mergeCell ref="G158:H158"/>
    <mergeCell ref="I178:I179"/>
    <mergeCell ref="J178:J179"/>
    <mergeCell ref="B180:B199"/>
    <mergeCell ref="C180:C199"/>
    <mergeCell ref="D180:D199"/>
    <mergeCell ref="E180:E199"/>
    <mergeCell ref="F180:F199"/>
    <mergeCell ref="I180:J180"/>
    <mergeCell ref="I184:J184"/>
    <mergeCell ref="I187:J187"/>
    <mergeCell ref="B178:B179"/>
    <mergeCell ref="C178:C179"/>
    <mergeCell ref="D178:D179"/>
    <mergeCell ref="E178:E179"/>
    <mergeCell ref="F178:F179"/>
    <mergeCell ref="G178:H178"/>
    <mergeCell ref="J189:J196"/>
    <mergeCell ref="I197:J197"/>
    <mergeCell ref="B201:B202"/>
    <mergeCell ref="C201:C202"/>
    <mergeCell ref="D201:D202"/>
    <mergeCell ref="E201:E202"/>
    <mergeCell ref="F201:F202"/>
    <mergeCell ref="G201:H201"/>
    <mergeCell ref="I201:I202"/>
    <mergeCell ref="J201:J202"/>
    <mergeCell ref="B203:B223"/>
    <mergeCell ref="C203:C223"/>
    <mergeCell ref="D203:D223"/>
    <mergeCell ref="E203:E223"/>
    <mergeCell ref="F203:F223"/>
    <mergeCell ref="I203:J203"/>
    <mergeCell ref="I207:J207"/>
    <mergeCell ref="I210:J210"/>
    <mergeCell ref="J211:J220"/>
    <mergeCell ref="I221:J221"/>
  </mergeCells>
  <hyperlinks>
    <hyperlink ref="B6" r:id="rId1" location="/pdf" xr:uid="{F00FB29D-B433-4F4D-9D87-250C5C44B4CA}"/>
    <hyperlink ref="B34" r:id="rId2" location="/pdf" xr:uid="{C813CE39-1946-4C00-9852-FAE1E4CB076D}"/>
    <hyperlink ref="B34:B44" r:id="rId3" location="/pdf" display="ICI" xr:uid="{A36352B3-8CC5-4A22-99AD-965C6508D121}"/>
    <hyperlink ref="B48" r:id="rId4" location="/pdf" xr:uid="{9C6130E9-C5E3-46C4-A99E-4EB73351FA70}"/>
    <hyperlink ref="B48:B58" r:id="rId5" location="/pdf" display="ICI" xr:uid="{BEB6B6A2-6FDB-4FAB-852B-1BF3F480AC7E}"/>
    <hyperlink ref="B62" r:id="rId6" location="/pdf" xr:uid="{0BCF4A8C-6B2F-45EE-AFE5-3B7348CFEB7C}"/>
    <hyperlink ref="B62:B80" r:id="rId7" location="/pdf" display="ICI" xr:uid="{ADE0083C-6B91-4D23-BBF7-322F40A45CCD}"/>
    <hyperlink ref="B84" r:id="rId8" location="/pdf" xr:uid="{5D5A61B1-A8B3-462A-B5C2-2DAABD304951}"/>
    <hyperlink ref="B84:B103" r:id="rId9" location="/pdf" display="ICI" xr:uid="{EE7A7DA2-4B0A-413C-89CB-7C1C9C309802}"/>
    <hyperlink ref="B118" r:id="rId10" location="/pdf" xr:uid="{A09CBFE3-2D36-49A3-B39E-E742706DB414}"/>
    <hyperlink ref="B119" r:id="rId11" location="/pdf" xr:uid="{A4468994-3A1F-4517-96BC-12A5A8B3FAF2}"/>
    <hyperlink ref="B134" r:id="rId12" location="/pdf" xr:uid="{6AE93D63-5E48-433E-BED7-215A99AC0295}"/>
    <hyperlink ref="B134:B156" r:id="rId13" location="/pdf" display="ICI" xr:uid="{6AFB550F-CB6F-41BF-BD9D-3F65702FD7A8}"/>
    <hyperlink ref="B160" r:id="rId14" location="/pdf" xr:uid="{8C34A27F-C681-4389-A453-47E1993B6645}"/>
    <hyperlink ref="B160:B176" r:id="rId15" location="/pdf" display="ICI" xr:uid="{8981F898-2E3A-4F0B-8AB6-FEF9F5BE2875}"/>
    <hyperlink ref="B180" r:id="rId16" location="/pdf" xr:uid="{284109C6-5AA5-4DEC-85EB-4957E0F8C46F}"/>
    <hyperlink ref="B180:B199" r:id="rId17" location="/pdf" display="ICI" xr:uid="{A62E5415-A028-41DE-AAB9-870F76EAED62}"/>
    <hyperlink ref="B203" r:id="rId18" location="/pdf" xr:uid="{9F2E9BDE-31A1-4055-86C6-78DF7FE726E5}"/>
    <hyperlink ref="B203:B223" r:id="rId19" location="/pdf" display="ICI" xr:uid="{9CFAAAC0-6833-4BFB-A470-33E4722BFBA0}"/>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CB25A-67CE-4BDF-9767-A13D33E5528B}">
  <dimension ref="B2:O89"/>
  <sheetViews>
    <sheetView showGridLines="0" zoomScale="70" zoomScaleNormal="70" workbookViewId="0">
      <selection activeCell="B2" sqref="B2"/>
    </sheetView>
  </sheetViews>
  <sheetFormatPr defaultColWidth="11.43359375" defaultRowHeight="15" x14ac:dyDescent="0.2"/>
  <cols>
    <col min="2" max="2" width="14.9296875" customWidth="1"/>
    <col min="3" max="3" width="39.546875" customWidth="1"/>
    <col min="4" max="4" width="13.5859375" customWidth="1"/>
    <col min="6" max="6" width="30.265625" customWidth="1"/>
    <col min="7" max="7" width="8.609375" bestFit="1" customWidth="1"/>
    <col min="8" max="8" width="22.8671875" customWidth="1"/>
    <col min="9" max="9" width="6.859375" bestFit="1" customWidth="1"/>
    <col min="10" max="10" width="14.125" customWidth="1"/>
    <col min="11" max="11" width="14.52734375" customWidth="1"/>
    <col min="12" max="12" width="31.07421875" customWidth="1"/>
    <col min="13" max="13" width="6.3203125" bestFit="1" customWidth="1"/>
  </cols>
  <sheetData>
    <row r="2" spans="2:13" x14ac:dyDescent="0.2">
      <c r="B2" s="3" t="s">
        <v>20</v>
      </c>
    </row>
    <row r="7" spans="2:13" ht="28.9" customHeight="1" x14ac:dyDescent="0.2">
      <c r="F7" s="303"/>
      <c r="G7" s="503" t="s">
        <v>5026</v>
      </c>
      <c r="H7" s="503"/>
      <c r="I7" s="503"/>
      <c r="J7" s="503" t="s">
        <v>5027</v>
      </c>
      <c r="K7" s="503"/>
      <c r="L7" s="303"/>
      <c r="M7" s="303"/>
    </row>
    <row r="8" spans="2:13" s="352" customFormat="1" ht="34.9" customHeight="1" x14ac:dyDescent="0.15">
      <c r="B8" s="312" t="s">
        <v>5028</v>
      </c>
      <c r="C8" s="312" t="s">
        <v>5029</v>
      </c>
      <c r="D8" s="319" t="s">
        <v>5030</v>
      </c>
      <c r="F8" s="312" t="s">
        <v>5028</v>
      </c>
      <c r="G8" s="304" t="s">
        <v>23</v>
      </c>
      <c r="H8" s="304" t="s">
        <v>5028</v>
      </c>
      <c r="I8" s="304" t="s">
        <v>5031</v>
      </c>
      <c r="J8" s="304" t="s">
        <v>23</v>
      </c>
      <c r="K8" s="304" t="s">
        <v>5028</v>
      </c>
      <c r="L8" s="304" t="s">
        <v>5032</v>
      </c>
      <c r="M8" s="304" t="s">
        <v>5030</v>
      </c>
    </row>
    <row r="9" spans="2:13" x14ac:dyDescent="0.2">
      <c r="B9" s="314" t="s">
        <v>5033</v>
      </c>
      <c r="C9" s="504" t="s">
        <v>5034</v>
      </c>
      <c r="D9" s="315">
        <v>1</v>
      </c>
      <c r="F9" s="313" t="s">
        <v>5033</v>
      </c>
      <c r="G9" s="305">
        <v>2194.41</v>
      </c>
      <c r="H9" s="305">
        <v>1800.28</v>
      </c>
      <c r="I9" s="306">
        <v>394.13</v>
      </c>
      <c r="J9" s="306">
        <v>-408.04</v>
      </c>
      <c r="K9" s="306">
        <v>0.4</v>
      </c>
      <c r="L9" s="307">
        <v>2.0000000000000001E-4</v>
      </c>
      <c r="M9" s="308">
        <v>1</v>
      </c>
    </row>
    <row r="10" spans="2:13" x14ac:dyDescent="0.2">
      <c r="B10" s="314" t="s">
        <v>407</v>
      </c>
      <c r="C10" s="505"/>
      <c r="D10" s="315">
        <v>1</v>
      </c>
      <c r="F10" s="313" t="s">
        <v>407</v>
      </c>
      <c r="G10" s="306">
        <v>304.2</v>
      </c>
      <c r="H10" s="306">
        <v>0.94</v>
      </c>
      <c r="I10" s="306">
        <v>303.26</v>
      </c>
      <c r="J10" s="306" t="s">
        <v>5035</v>
      </c>
      <c r="K10" s="306">
        <v>187.88</v>
      </c>
      <c r="L10" s="307">
        <v>199.66550000000001</v>
      </c>
      <c r="M10" s="309">
        <v>3</v>
      </c>
    </row>
    <row r="11" spans="2:13" x14ac:dyDescent="0.2">
      <c r="B11" s="314" t="s">
        <v>3393</v>
      </c>
      <c r="C11" s="505"/>
      <c r="D11" s="315">
        <v>1</v>
      </c>
      <c r="F11" s="313" t="s">
        <v>3393</v>
      </c>
      <c r="G11" s="305">
        <v>1353.14</v>
      </c>
      <c r="H11" s="305">
        <v>1171.1400000000001</v>
      </c>
      <c r="I11" s="306">
        <v>182</v>
      </c>
      <c r="J11" s="306">
        <v>-494.53</v>
      </c>
      <c r="K11" s="306">
        <v>-161.57</v>
      </c>
      <c r="L11" s="307">
        <v>-0.13800000000000001</v>
      </c>
      <c r="M11" s="309">
        <v>3</v>
      </c>
    </row>
    <row r="12" spans="2:13" x14ac:dyDescent="0.2">
      <c r="B12" s="314" t="s">
        <v>3761</v>
      </c>
      <c r="C12" s="505"/>
      <c r="D12" s="315">
        <v>1</v>
      </c>
      <c r="F12" s="313" t="s">
        <v>3761</v>
      </c>
      <c r="G12" s="306">
        <v>502.22</v>
      </c>
      <c r="H12" s="306">
        <v>439.65</v>
      </c>
      <c r="I12" s="306">
        <v>62.57</v>
      </c>
      <c r="J12" s="306" t="s">
        <v>5035</v>
      </c>
      <c r="K12" s="306">
        <v>60.86</v>
      </c>
      <c r="L12" s="307">
        <v>0.1384</v>
      </c>
      <c r="M12" s="309">
        <v>3</v>
      </c>
    </row>
    <row r="13" spans="2:13" x14ac:dyDescent="0.2">
      <c r="B13" s="314" t="s">
        <v>3712</v>
      </c>
      <c r="C13" s="505"/>
      <c r="D13" s="315">
        <v>1</v>
      </c>
      <c r="F13" s="313" t="s">
        <v>3712</v>
      </c>
      <c r="G13" s="306">
        <v>229.55</v>
      </c>
      <c r="H13" s="306">
        <v>199.52</v>
      </c>
      <c r="I13" s="306">
        <v>30.03</v>
      </c>
      <c r="J13" s="306">
        <v>-23.87</v>
      </c>
      <c r="K13" s="306" t="s">
        <v>5035</v>
      </c>
      <c r="L13" s="307">
        <v>0</v>
      </c>
      <c r="M13" s="308">
        <v>1</v>
      </c>
    </row>
    <row r="14" spans="2:13" x14ac:dyDescent="0.2">
      <c r="B14" s="314" t="s">
        <v>5036</v>
      </c>
      <c r="C14" s="505"/>
      <c r="D14" s="315">
        <v>1</v>
      </c>
      <c r="F14" s="313" t="s">
        <v>5037</v>
      </c>
      <c r="G14" s="306">
        <v>16.309999999999999</v>
      </c>
      <c r="H14" s="306">
        <v>3.83</v>
      </c>
      <c r="I14" s="306">
        <v>12.48</v>
      </c>
      <c r="J14" s="306">
        <v>-12.35</v>
      </c>
      <c r="K14" s="306" t="s">
        <v>5035</v>
      </c>
      <c r="L14" s="307">
        <v>0</v>
      </c>
      <c r="M14" s="308">
        <v>1</v>
      </c>
    </row>
    <row r="15" spans="2:13" x14ac:dyDescent="0.2">
      <c r="B15" s="314" t="s">
        <v>5037</v>
      </c>
      <c r="C15" s="505"/>
      <c r="D15" s="315">
        <v>1</v>
      </c>
      <c r="F15" s="313" t="s">
        <v>3398</v>
      </c>
      <c r="G15" s="306">
        <v>5.64</v>
      </c>
      <c r="H15" s="306">
        <v>3.55</v>
      </c>
      <c r="I15" s="306">
        <v>2.09</v>
      </c>
      <c r="J15" s="306" t="s">
        <v>5035</v>
      </c>
      <c r="K15" s="306" t="s">
        <v>5035</v>
      </c>
      <c r="L15" s="307">
        <v>0</v>
      </c>
      <c r="M15" s="308">
        <v>1</v>
      </c>
    </row>
    <row r="16" spans="2:13" x14ac:dyDescent="0.2">
      <c r="B16" s="314" t="s">
        <v>3398</v>
      </c>
      <c r="C16" s="505"/>
      <c r="D16" s="315">
        <v>1</v>
      </c>
      <c r="F16" s="313" t="s">
        <v>3408</v>
      </c>
      <c r="G16" s="306">
        <v>1.23</v>
      </c>
      <c r="H16" s="306" t="s">
        <v>5035</v>
      </c>
      <c r="I16" s="306">
        <v>1.23</v>
      </c>
      <c r="J16" s="306">
        <v>-0.02</v>
      </c>
      <c r="K16" s="306" t="s">
        <v>5035</v>
      </c>
      <c r="L16" s="307">
        <v>0</v>
      </c>
      <c r="M16" s="308">
        <v>1</v>
      </c>
    </row>
    <row r="17" spans="2:15" x14ac:dyDescent="0.2">
      <c r="B17" s="314" t="s">
        <v>3408</v>
      </c>
      <c r="C17" s="505"/>
      <c r="D17" s="315">
        <v>1</v>
      </c>
      <c r="F17" s="313" t="s">
        <v>5038</v>
      </c>
      <c r="G17" s="306">
        <v>36.340000000000003</v>
      </c>
      <c r="H17" s="306">
        <v>35.81</v>
      </c>
      <c r="I17" s="306">
        <v>0.54</v>
      </c>
      <c r="J17" s="306">
        <v>-0.09</v>
      </c>
      <c r="K17" s="306">
        <v>1.25</v>
      </c>
      <c r="L17" s="307">
        <v>3.5000000000000003E-2</v>
      </c>
      <c r="M17" s="308">
        <v>1</v>
      </c>
    </row>
    <row r="18" spans="2:15" x14ac:dyDescent="0.2">
      <c r="B18" s="314" t="s">
        <v>5038</v>
      </c>
      <c r="C18" s="505"/>
      <c r="D18" s="315">
        <v>1</v>
      </c>
      <c r="F18" s="313" t="s">
        <v>3405</v>
      </c>
      <c r="G18" s="306">
        <v>16.09</v>
      </c>
      <c r="H18" s="306">
        <v>83.98</v>
      </c>
      <c r="I18" s="306">
        <v>-67.89</v>
      </c>
      <c r="J18" s="306">
        <v>35.79</v>
      </c>
      <c r="K18" s="306" t="s">
        <v>5035</v>
      </c>
      <c r="L18" s="307">
        <v>0</v>
      </c>
      <c r="M18" s="308">
        <v>1</v>
      </c>
    </row>
    <row r="19" spans="2:15" x14ac:dyDescent="0.2">
      <c r="B19" s="314" t="s">
        <v>3405</v>
      </c>
      <c r="C19" s="505"/>
      <c r="D19" s="315">
        <v>1</v>
      </c>
      <c r="F19" s="313" t="s">
        <v>682</v>
      </c>
      <c r="G19" s="306">
        <v>78.489999999999995</v>
      </c>
      <c r="H19" s="306">
        <v>2.56</v>
      </c>
      <c r="I19" s="306">
        <v>75.930000000000007</v>
      </c>
      <c r="J19" s="306" t="s">
        <v>5035</v>
      </c>
      <c r="K19" s="306" t="s">
        <v>5035</v>
      </c>
      <c r="L19" s="307">
        <v>0</v>
      </c>
      <c r="M19" s="308">
        <v>1</v>
      </c>
    </row>
    <row r="20" spans="2:15" x14ac:dyDescent="0.2">
      <c r="B20" s="314" t="s">
        <v>682</v>
      </c>
      <c r="C20" s="506"/>
      <c r="D20" s="315">
        <v>1</v>
      </c>
      <c r="F20" s="313" t="s">
        <v>5039</v>
      </c>
      <c r="G20" s="310"/>
      <c r="H20" s="310"/>
      <c r="I20" s="310"/>
      <c r="J20" s="310"/>
      <c r="K20" s="310"/>
      <c r="L20" s="311"/>
      <c r="M20" s="311"/>
    </row>
    <row r="21" spans="2:15" x14ac:dyDescent="0.2">
      <c r="B21" s="314" t="s">
        <v>5039</v>
      </c>
      <c r="C21" s="316"/>
      <c r="D21" s="317"/>
      <c r="F21" s="313" t="s">
        <v>3403</v>
      </c>
      <c r="G21" s="306">
        <v>91.83</v>
      </c>
      <c r="H21" s="306">
        <v>80.98</v>
      </c>
      <c r="I21" s="306">
        <v>10.85</v>
      </c>
      <c r="J21" s="306" t="s">
        <v>5035</v>
      </c>
      <c r="K21" s="306">
        <v>10.83</v>
      </c>
      <c r="L21" s="307">
        <v>0.1338</v>
      </c>
      <c r="M21" s="309">
        <v>3</v>
      </c>
    </row>
    <row r="22" spans="2:15" ht="22.5" x14ac:dyDescent="0.2">
      <c r="B22" s="314" t="s">
        <v>3403</v>
      </c>
      <c r="C22" s="351" t="s">
        <v>5034</v>
      </c>
      <c r="D22" s="315">
        <v>1</v>
      </c>
    </row>
    <row r="27" spans="2:15" ht="33" customHeight="1" x14ac:dyDescent="0.25">
      <c r="B27" s="301"/>
      <c r="C27" s="302" t="s">
        <v>5040</v>
      </c>
      <c r="D27" s="302"/>
      <c r="E27" s="302"/>
      <c r="F27" s="318"/>
      <c r="G27" s="318"/>
      <c r="J27" s="350" t="s">
        <v>5028</v>
      </c>
      <c r="K27" s="498" t="s">
        <v>5041</v>
      </c>
      <c r="L27" s="498"/>
      <c r="M27" s="498"/>
      <c r="N27" s="498"/>
      <c r="O27" s="335" t="s">
        <v>5030</v>
      </c>
    </row>
    <row r="28" spans="2:15" ht="49.9" customHeight="1" x14ac:dyDescent="0.2">
      <c r="B28" s="312" t="s">
        <v>5028</v>
      </c>
      <c r="C28" s="304" t="s">
        <v>23</v>
      </c>
      <c r="D28" s="304" t="s">
        <v>5028</v>
      </c>
      <c r="E28" s="304" t="s">
        <v>5042</v>
      </c>
      <c r="F28" s="304" t="s">
        <v>5043</v>
      </c>
      <c r="G28" s="319" t="s">
        <v>5030</v>
      </c>
      <c r="J28" s="333" t="s">
        <v>5033</v>
      </c>
      <c r="K28" s="499" t="s">
        <v>5044</v>
      </c>
      <c r="L28" s="499"/>
      <c r="M28" s="499"/>
      <c r="N28" s="499"/>
      <c r="O28" s="334">
        <v>1</v>
      </c>
    </row>
    <row r="29" spans="2:15" x14ac:dyDescent="0.2">
      <c r="B29" s="320" t="s">
        <v>5033</v>
      </c>
      <c r="C29" s="321">
        <v>1786.37</v>
      </c>
      <c r="D29" s="321">
        <v>1800.68</v>
      </c>
      <c r="E29" s="322">
        <v>-14.31</v>
      </c>
      <c r="F29" s="323">
        <v>-7.9000000000000008E-3</v>
      </c>
      <c r="G29" s="324">
        <v>1</v>
      </c>
      <c r="J29" s="332" t="s">
        <v>407</v>
      </c>
      <c r="K29" s="500" t="s">
        <v>5044</v>
      </c>
      <c r="L29" s="500"/>
      <c r="M29" s="500"/>
      <c r="N29" s="500"/>
      <c r="O29" s="329">
        <v>1</v>
      </c>
    </row>
    <row r="30" spans="2:15" x14ac:dyDescent="0.2">
      <c r="B30" s="320" t="s">
        <v>407</v>
      </c>
      <c r="C30" s="322">
        <v>304.2</v>
      </c>
      <c r="D30" s="322">
        <v>188.82</v>
      </c>
      <c r="E30" s="322">
        <v>115.38</v>
      </c>
      <c r="F30" s="323">
        <v>0.61109999999999998</v>
      </c>
      <c r="G30" s="325">
        <v>3</v>
      </c>
      <c r="J30" s="332" t="s">
        <v>3393</v>
      </c>
      <c r="K30" s="500" t="s">
        <v>5044</v>
      </c>
      <c r="L30" s="500"/>
      <c r="M30" s="500"/>
      <c r="N30" s="500"/>
      <c r="O30" s="329">
        <v>1</v>
      </c>
    </row>
    <row r="31" spans="2:15" x14ac:dyDescent="0.2">
      <c r="B31" s="320" t="s">
        <v>3393</v>
      </c>
      <c r="C31" s="322">
        <v>858.61</v>
      </c>
      <c r="D31" s="321">
        <v>1009.58</v>
      </c>
      <c r="E31" s="322">
        <v>-150.97</v>
      </c>
      <c r="F31" s="323">
        <v>-0.14949999999999999</v>
      </c>
      <c r="G31" s="326">
        <v>2</v>
      </c>
      <c r="J31" s="332" t="s">
        <v>3761</v>
      </c>
      <c r="K31" s="500" t="s">
        <v>5045</v>
      </c>
      <c r="L31" s="500"/>
      <c r="M31" s="500"/>
      <c r="N31" s="500"/>
      <c r="O31" s="330">
        <v>3</v>
      </c>
    </row>
    <row r="32" spans="2:15" x14ac:dyDescent="0.2">
      <c r="B32" s="320" t="s">
        <v>3761</v>
      </c>
      <c r="C32" s="322">
        <v>502.22</v>
      </c>
      <c r="D32" s="322">
        <v>500.5</v>
      </c>
      <c r="E32" s="322">
        <v>1.72</v>
      </c>
      <c r="F32" s="323">
        <v>3.3999999999999998E-3</v>
      </c>
      <c r="G32" s="324">
        <v>1</v>
      </c>
      <c r="J32" s="332" t="s">
        <v>3712</v>
      </c>
      <c r="K32" s="500" t="s">
        <v>5045</v>
      </c>
      <c r="L32" s="500"/>
      <c r="M32" s="500"/>
      <c r="N32" s="500"/>
      <c r="O32" s="330">
        <v>3</v>
      </c>
    </row>
    <row r="33" spans="2:15" x14ac:dyDescent="0.2">
      <c r="B33" s="320" t="s">
        <v>3712</v>
      </c>
      <c r="C33" s="322">
        <v>205.68</v>
      </c>
      <c r="D33" s="322">
        <v>199.52</v>
      </c>
      <c r="E33" s="322">
        <v>6.17</v>
      </c>
      <c r="F33" s="323">
        <v>3.09E-2</v>
      </c>
      <c r="G33" s="324">
        <v>1</v>
      </c>
      <c r="J33" s="332" t="s">
        <v>5036</v>
      </c>
      <c r="K33" s="500" t="s">
        <v>5044</v>
      </c>
      <c r="L33" s="500"/>
      <c r="M33" s="500"/>
      <c r="N33" s="500"/>
      <c r="O33" s="331">
        <v>1</v>
      </c>
    </row>
    <row r="34" spans="2:15" x14ac:dyDescent="0.2">
      <c r="B34" s="320" t="s">
        <v>5037</v>
      </c>
      <c r="C34" s="322">
        <v>3.96</v>
      </c>
      <c r="D34" s="322">
        <v>3.83</v>
      </c>
      <c r="E34" s="322">
        <v>0.13</v>
      </c>
      <c r="F34" s="323">
        <v>3.3599999999999998E-2</v>
      </c>
      <c r="G34" s="324">
        <v>1</v>
      </c>
      <c r="J34" s="332" t="s">
        <v>5037</v>
      </c>
      <c r="K34" s="500" t="s">
        <v>5045</v>
      </c>
      <c r="L34" s="500"/>
      <c r="M34" s="500"/>
      <c r="N34" s="500"/>
      <c r="O34" s="330">
        <v>3</v>
      </c>
    </row>
    <row r="35" spans="2:15" x14ac:dyDescent="0.2">
      <c r="B35" s="320" t="s">
        <v>3398</v>
      </c>
      <c r="C35" s="322">
        <v>5.64</v>
      </c>
      <c r="D35" s="322">
        <v>3.55</v>
      </c>
      <c r="E35" s="322">
        <v>2.09</v>
      </c>
      <c r="F35" s="323">
        <v>0.58909999999999996</v>
      </c>
      <c r="G35" s="325">
        <v>3</v>
      </c>
      <c r="J35" s="332" t="s">
        <v>3398</v>
      </c>
      <c r="K35" s="500" t="s">
        <v>5045</v>
      </c>
      <c r="L35" s="500"/>
      <c r="M35" s="500"/>
      <c r="N35" s="500"/>
      <c r="O35" s="330">
        <v>3</v>
      </c>
    </row>
    <row r="36" spans="2:15" x14ac:dyDescent="0.2">
      <c r="B36" s="320" t="s">
        <v>3408</v>
      </c>
      <c r="C36" s="322">
        <v>1.21</v>
      </c>
      <c r="D36" s="322" t="s">
        <v>5035</v>
      </c>
      <c r="E36" s="322">
        <v>1.21</v>
      </c>
      <c r="F36" s="323">
        <v>1</v>
      </c>
      <c r="G36" s="325">
        <v>3</v>
      </c>
      <c r="J36" s="332" t="s">
        <v>3408</v>
      </c>
      <c r="K36" s="500" t="s">
        <v>5045</v>
      </c>
      <c r="L36" s="500"/>
      <c r="M36" s="500"/>
      <c r="N36" s="500"/>
      <c r="O36" s="330">
        <v>3</v>
      </c>
    </row>
    <row r="37" spans="2:15" x14ac:dyDescent="0.2">
      <c r="B37" s="320" t="s">
        <v>5038</v>
      </c>
      <c r="C37" s="322">
        <v>36.26</v>
      </c>
      <c r="D37" s="322">
        <v>37.06</v>
      </c>
      <c r="E37" s="322">
        <v>-0.81</v>
      </c>
      <c r="F37" s="323">
        <v>-2.1700000000000001E-2</v>
      </c>
      <c r="G37" s="324">
        <v>1</v>
      </c>
      <c r="J37" s="332" t="s">
        <v>5038</v>
      </c>
      <c r="K37" s="500" t="s">
        <v>5044</v>
      </c>
      <c r="L37" s="500"/>
      <c r="M37" s="500"/>
      <c r="N37" s="500"/>
      <c r="O37" s="329">
        <v>1</v>
      </c>
    </row>
    <row r="38" spans="2:15" x14ac:dyDescent="0.2">
      <c r="B38" s="320" t="s">
        <v>3405</v>
      </c>
      <c r="C38" s="322">
        <v>51.88</v>
      </c>
      <c r="D38" s="322">
        <v>83.98</v>
      </c>
      <c r="E38" s="322">
        <v>-32.090000000000003</v>
      </c>
      <c r="F38" s="323">
        <v>-0.38219999999999998</v>
      </c>
      <c r="G38" s="326">
        <v>2</v>
      </c>
      <c r="J38" s="332" t="s">
        <v>3405</v>
      </c>
      <c r="K38" s="500" t="s">
        <v>5045</v>
      </c>
      <c r="L38" s="500"/>
      <c r="M38" s="500"/>
      <c r="N38" s="500"/>
      <c r="O38" s="330">
        <v>3</v>
      </c>
    </row>
    <row r="39" spans="2:15" x14ac:dyDescent="0.2">
      <c r="B39" s="320" t="s">
        <v>682</v>
      </c>
      <c r="C39" s="322">
        <v>78.489999999999995</v>
      </c>
      <c r="D39" s="322">
        <v>2.56</v>
      </c>
      <c r="E39" s="322">
        <v>75.930000000000007</v>
      </c>
      <c r="F39" s="323">
        <v>29.6082</v>
      </c>
      <c r="G39" s="325">
        <v>3</v>
      </c>
      <c r="J39" s="332" t="s">
        <v>682</v>
      </c>
      <c r="K39" s="500" t="s">
        <v>5044</v>
      </c>
      <c r="L39" s="500"/>
      <c r="M39" s="500"/>
      <c r="N39" s="500"/>
      <c r="O39" s="329">
        <v>1</v>
      </c>
    </row>
    <row r="40" spans="2:15" x14ac:dyDescent="0.2">
      <c r="B40" s="320" t="s">
        <v>5039</v>
      </c>
      <c r="C40" s="327"/>
      <c r="D40" s="327"/>
      <c r="E40" s="327"/>
      <c r="F40" s="328"/>
      <c r="G40" s="328"/>
      <c r="J40" s="332" t="s">
        <v>5039</v>
      </c>
      <c r="K40" s="500" t="s">
        <v>5044</v>
      </c>
      <c r="L40" s="500"/>
      <c r="M40" s="500"/>
      <c r="N40" s="500"/>
      <c r="O40" s="329">
        <v>1</v>
      </c>
    </row>
    <row r="41" spans="2:15" x14ac:dyDescent="0.2">
      <c r="B41" s="320" t="s">
        <v>3403</v>
      </c>
      <c r="C41" s="322">
        <v>91.83</v>
      </c>
      <c r="D41" s="322">
        <v>91.82</v>
      </c>
      <c r="E41" s="322">
        <v>0.01</v>
      </c>
      <c r="F41" s="323">
        <v>1E-4</v>
      </c>
      <c r="G41" s="324">
        <v>1</v>
      </c>
      <c r="J41" s="332" t="s">
        <v>3403</v>
      </c>
      <c r="K41" s="500" t="s">
        <v>5044</v>
      </c>
      <c r="L41" s="500"/>
      <c r="M41" s="500"/>
      <c r="N41" s="500"/>
      <c r="O41" s="329">
        <v>1</v>
      </c>
    </row>
    <row r="50" spans="2:7" ht="22.5" x14ac:dyDescent="0.2">
      <c r="B50" s="304" t="s">
        <v>5046</v>
      </c>
      <c r="C50" s="304" t="s">
        <v>5047</v>
      </c>
      <c r="D50" s="304" t="s">
        <v>5048</v>
      </c>
      <c r="E50" s="304" t="s">
        <v>5049</v>
      </c>
      <c r="F50" s="304" t="s">
        <v>5050</v>
      </c>
      <c r="G50" s="304" t="s">
        <v>5030</v>
      </c>
    </row>
    <row r="51" spans="2:7" x14ac:dyDescent="0.2">
      <c r="B51" s="336" t="s">
        <v>5033</v>
      </c>
      <c r="C51" s="337">
        <v>316.10000000000002</v>
      </c>
      <c r="D51" s="337">
        <v>386.29</v>
      </c>
      <c r="E51" s="337">
        <v>-70.19</v>
      </c>
      <c r="F51" s="338">
        <v>-0.1817</v>
      </c>
      <c r="G51" s="341">
        <v>1</v>
      </c>
    </row>
    <row r="52" spans="2:7" x14ac:dyDescent="0.2">
      <c r="B52" s="336" t="s">
        <v>3393</v>
      </c>
      <c r="C52" s="337">
        <v>95.8</v>
      </c>
      <c r="D52" s="339">
        <v>109.92</v>
      </c>
      <c r="E52" s="337">
        <v>-14.11</v>
      </c>
      <c r="F52" s="337">
        <v>-12.84</v>
      </c>
      <c r="G52" s="342">
        <v>1</v>
      </c>
    </row>
    <row r="53" spans="2:7" x14ac:dyDescent="0.2">
      <c r="B53" s="336" t="s">
        <v>3401</v>
      </c>
      <c r="C53" s="337">
        <v>229.48</v>
      </c>
      <c r="D53" s="337">
        <v>25.33</v>
      </c>
      <c r="E53" s="337">
        <v>204.16</v>
      </c>
      <c r="F53" s="338">
        <v>8.0614000000000008</v>
      </c>
      <c r="G53" s="343">
        <v>3</v>
      </c>
    </row>
    <row r="54" spans="2:7" x14ac:dyDescent="0.2">
      <c r="B54" s="336" t="s">
        <v>3712</v>
      </c>
      <c r="C54" s="336" t="s">
        <v>5051</v>
      </c>
      <c r="D54" s="336">
        <v>2</v>
      </c>
      <c r="E54" s="336">
        <v>-2</v>
      </c>
      <c r="F54" s="340">
        <v>-1</v>
      </c>
      <c r="G54" s="341">
        <v>1</v>
      </c>
    </row>
    <row r="55" spans="2:7" x14ac:dyDescent="0.2">
      <c r="B55" s="336" t="s">
        <v>3398</v>
      </c>
      <c r="C55" s="337">
        <v>1.06</v>
      </c>
      <c r="D55" s="337">
        <v>1.06</v>
      </c>
      <c r="E55" s="337" t="s">
        <v>5052</v>
      </c>
      <c r="F55" s="338">
        <v>0</v>
      </c>
      <c r="G55" s="341">
        <v>1</v>
      </c>
    </row>
    <row r="56" spans="2:7" x14ac:dyDescent="0.2">
      <c r="B56" s="336" t="s">
        <v>3408</v>
      </c>
      <c r="C56" s="337">
        <v>0.11</v>
      </c>
      <c r="D56" s="337">
        <v>0.11</v>
      </c>
      <c r="E56" s="337">
        <v>0</v>
      </c>
      <c r="F56" s="338">
        <v>3.5400000000000001E-2</v>
      </c>
      <c r="G56" s="341">
        <v>1</v>
      </c>
    </row>
    <row r="57" spans="2:7" x14ac:dyDescent="0.2">
      <c r="B57" s="336" t="s">
        <v>5038</v>
      </c>
      <c r="C57" s="337">
        <v>14.59</v>
      </c>
      <c r="D57" s="337">
        <v>22.56</v>
      </c>
      <c r="E57" s="337">
        <v>-7.96</v>
      </c>
      <c r="F57" s="338">
        <v>-0.35310000000000002</v>
      </c>
      <c r="G57" s="341">
        <v>1</v>
      </c>
    </row>
    <row r="58" spans="2:7" x14ac:dyDescent="0.2">
      <c r="B58" s="336" t="s">
        <v>3405</v>
      </c>
      <c r="C58" s="337" t="s">
        <v>5051</v>
      </c>
      <c r="D58" s="337">
        <v>7.5</v>
      </c>
      <c r="E58" s="337">
        <v>-7.5</v>
      </c>
      <c r="F58" s="338">
        <v>-1</v>
      </c>
      <c r="G58" s="341">
        <v>1</v>
      </c>
    </row>
    <row r="59" spans="2:7" x14ac:dyDescent="0.2">
      <c r="B59" s="336" t="s">
        <v>682</v>
      </c>
      <c r="C59" s="337" t="s">
        <v>5051</v>
      </c>
      <c r="D59" s="337">
        <v>202.01</v>
      </c>
      <c r="E59" s="337">
        <v>-202.01</v>
      </c>
      <c r="F59" s="338">
        <v>-1</v>
      </c>
      <c r="G59" s="341">
        <v>1</v>
      </c>
    </row>
    <row r="60" spans="2:7" x14ac:dyDescent="0.2">
      <c r="B60" s="336" t="s">
        <v>3403</v>
      </c>
      <c r="C60" s="337">
        <v>85.23</v>
      </c>
      <c r="D60" s="337">
        <v>11.78</v>
      </c>
      <c r="E60" s="337">
        <v>73.45</v>
      </c>
      <c r="F60" s="338">
        <v>6.2342000000000004</v>
      </c>
      <c r="G60" s="343">
        <v>3</v>
      </c>
    </row>
    <row r="67" spans="2:15" ht="22.5" x14ac:dyDescent="0.2">
      <c r="B67" s="344" t="s">
        <v>5053</v>
      </c>
      <c r="C67" s="502" t="s">
        <v>5054</v>
      </c>
      <c r="D67" s="502"/>
      <c r="E67" s="502"/>
      <c r="F67" s="502"/>
      <c r="G67" s="304" t="s">
        <v>5030</v>
      </c>
      <c r="J67" s="304" t="s">
        <v>5053</v>
      </c>
      <c r="K67" s="503" t="s">
        <v>5055</v>
      </c>
      <c r="L67" s="503"/>
      <c r="M67" s="503"/>
      <c r="N67" s="503"/>
      <c r="O67" s="304" t="s">
        <v>5030</v>
      </c>
    </row>
    <row r="68" spans="2:15" x14ac:dyDescent="0.2">
      <c r="B68" s="336" t="s">
        <v>5033</v>
      </c>
      <c r="C68" s="507" t="s">
        <v>5056</v>
      </c>
      <c r="D68" s="507"/>
      <c r="E68" s="507"/>
      <c r="F68" s="507"/>
      <c r="G68" s="345">
        <v>2</v>
      </c>
      <c r="J68" s="336" t="s">
        <v>5033</v>
      </c>
      <c r="K68" s="497" t="s">
        <v>5057</v>
      </c>
      <c r="L68" s="497"/>
      <c r="M68" s="497"/>
      <c r="N68" s="497"/>
      <c r="O68" s="346">
        <v>1</v>
      </c>
    </row>
    <row r="69" spans="2:15" x14ac:dyDescent="0.2">
      <c r="B69" s="336" t="s">
        <v>407</v>
      </c>
      <c r="C69" s="507"/>
      <c r="D69" s="507"/>
      <c r="E69" s="507"/>
      <c r="F69" s="507"/>
      <c r="G69" s="345">
        <v>2</v>
      </c>
      <c r="J69" s="336" t="s">
        <v>3393</v>
      </c>
      <c r="K69" s="497"/>
      <c r="L69" s="497"/>
      <c r="M69" s="497"/>
      <c r="N69" s="497"/>
      <c r="O69" s="346">
        <v>1</v>
      </c>
    </row>
    <row r="70" spans="2:15" x14ac:dyDescent="0.2">
      <c r="B70" s="336" t="s">
        <v>3393</v>
      </c>
      <c r="C70" s="507"/>
      <c r="D70" s="507"/>
      <c r="E70" s="507"/>
      <c r="F70" s="507"/>
      <c r="G70" s="345">
        <v>2</v>
      </c>
      <c r="J70" s="336" t="s">
        <v>3401</v>
      </c>
      <c r="K70" s="497"/>
      <c r="L70" s="497"/>
      <c r="M70" s="497"/>
      <c r="N70" s="497"/>
      <c r="O70" s="346">
        <v>1</v>
      </c>
    </row>
    <row r="71" spans="2:15" x14ac:dyDescent="0.2">
      <c r="B71" s="336" t="s">
        <v>3401</v>
      </c>
      <c r="C71" s="507"/>
      <c r="D71" s="507"/>
      <c r="E71" s="507"/>
      <c r="F71" s="507"/>
      <c r="G71" s="345">
        <v>2</v>
      </c>
      <c r="J71" s="336" t="s">
        <v>3712</v>
      </c>
      <c r="K71" s="497"/>
      <c r="L71" s="497"/>
      <c r="M71" s="497"/>
      <c r="N71" s="497"/>
      <c r="O71" s="346">
        <v>1</v>
      </c>
    </row>
    <row r="72" spans="2:15" x14ac:dyDescent="0.2">
      <c r="B72" s="336" t="s">
        <v>3712</v>
      </c>
      <c r="C72" s="507"/>
      <c r="D72" s="507"/>
      <c r="E72" s="507"/>
      <c r="F72" s="507"/>
      <c r="G72" s="345">
        <v>2</v>
      </c>
      <c r="J72" s="336" t="s">
        <v>3398</v>
      </c>
      <c r="K72" s="497"/>
      <c r="L72" s="497"/>
      <c r="M72" s="497"/>
      <c r="N72" s="497"/>
      <c r="O72" s="346">
        <v>1</v>
      </c>
    </row>
    <row r="73" spans="2:15" x14ac:dyDescent="0.2">
      <c r="B73" s="336" t="s">
        <v>5036</v>
      </c>
      <c r="C73" s="507"/>
      <c r="D73" s="507"/>
      <c r="E73" s="507"/>
      <c r="F73" s="507"/>
      <c r="G73" s="345">
        <v>2</v>
      </c>
      <c r="J73" s="336" t="s">
        <v>5036</v>
      </c>
      <c r="K73" s="497" t="s">
        <v>5058</v>
      </c>
      <c r="L73" s="497"/>
      <c r="M73" s="497"/>
      <c r="N73" s="497"/>
      <c r="O73" s="309">
        <v>3</v>
      </c>
    </row>
    <row r="74" spans="2:15" x14ac:dyDescent="0.2">
      <c r="B74" s="336" t="s">
        <v>3312</v>
      </c>
      <c r="C74" s="507"/>
      <c r="D74" s="507"/>
      <c r="E74" s="507"/>
      <c r="F74" s="507"/>
      <c r="G74" s="345">
        <v>2</v>
      </c>
      <c r="J74" s="336" t="s">
        <v>407</v>
      </c>
      <c r="K74" s="497" t="s">
        <v>5058</v>
      </c>
      <c r="L74" s="497"/>
      <c r="M74" s="497"/>
      <c r="N74" s="497"/>
      <c r="O74" s="309">
        <v>3</v>
      </c>
    </row>
    <row r="75" spans="2:15" x14ac:dyDescent="0.2">
      <c r="B75" s="336" t="s">
        <v>5059</v>
      </c>
      <c r="C75" s="507"/>
      <c r="D75" s="507"/>
      <c r="E75" s="507"/>
      <c r="F75" s="507"/>
      <c r="G75" s="345">
        <v>2</v>
      </c>
      <c r="J75" s="336" t="s">
        <v>5037</v>
      </c>
      <c r="K75" s="497" t="s">
        <v>5058</v>
      </c>
      <c r="L75" s="497"/>
      <c r="M75" s="497"/>
      <c r="N75" s="497"/>
      <c r="O75" s="309">
        <v>3</v>
      </c>
    </row>
    <row r="76" spans="2:15" x14ac:dyDescent="0.2">
      <c r="B76" s="336" t="s">
        <v>3408</v>
      </c>
      <c r="C76" s="507"/>
      <c r="D76" s="507"/>
      <c r="E76" s="507"/>
      <c r="F76" s="507"/>
      <c r="G76" s="345">
        <v>2</v>
      </c>
      <c r="J76" s="337" t="s">
        <v>3405</v>
      </c>
      <c r="K76" s="497" t="s">
        <v>5058</v>
      </c>
      <c r="L76" s="497"/>
      <c r="M76" s="497"/>
      <c r="N76" s="497"/>
      <c r="O76" s="309">
        <v>3</v>
      </c>
    </row>
    <row r="77" spans="2:15" x14ac:dyDescent="0.2">
      <c r="B77" s="336" t="s">
        <v>5038</v>
      </c>
      <c r="C77" s="507"/>
      <c r="D77" s="507"/>
      <c r="E77" s="507"/>
      <c r="F77" s="507"/>
      <c r="G77" s="345">
        <v>2</v>
      </c>
      <c r="J77" s="337" t="s">
        <v>5038</v>
      </c>
      <c r="K77" s="501" t="s">
        <v>5060</v>
      </c>
      <c r="L77" s="501"/>
      <c r="M77" s="501"/>
      <c r="N77" s="501"/>
      <c r="O77" s="347"/>
    </row>
    <row r="78" spans="2:15" x14ac:dyDescent="0.2">
      <c r="B78" s="497" t="s">
        <v>3405</v>
      </c>
      <c r="C78" s="507"/>
      <c r="D78" s="507"/>
      <c r="E78" s="507"/>
      <c r="F78" s="507"/>
      <c r="G78" s="345">
        <v>2</v>
      </c>
      <c r="J78" s="337" t="s">
        <v>3408</v>
      </c>
      <c r="K78" s="501" t="s">
        <v>5060</v>
      </c>
      <c r="L78" s="501"/>
      <c r="M78" s="501"/>
      <c r="N78" s="501"/>
      <c r="O78" s="348"/>
    </row>
    <row r="79" spans="2:15" x14ac:dyDescent="0.2">
      <c r="B79" s="497"/>
      <c r="C79" s="507"/>
      <c r="D79" s="507"/>
      <c r="E79" s="507"/>
      <c r="F79" s="507"/>
      <c r="G79" s="345">
        <v>2</v>
      </c>
      <c r="J79" s="337" t="s">
        <v>682</v>
      </c>
      <c r="K79" s="510" t="s">
        <v>5061</v>
      </c>
      <c r="L79" s="510"/>
      <c r="M79" s="510"/>
      <c r="N79" s="510"/>
      <c r="O79" s="346">
        <v>1</v>
      </c>
    </row>
    <row r="80" spans="2:15" x14ac:dyDescent="0.2">
      <c r="B80" s="336" t="s">
        <v>682</v>
      </c>
      <c r="C80" s="508" t="s">
        <v>5062</v>
      </c>
      <c r="D80" s="508"/>
      <c r="E80" s="508"/>
      <c r="F80" s="508"/>
      <c r="G80" s="346">
        <v>1</v>
      </c>
      <c r="J80" s="337" t="s">
        <v>5039</v>
      </c>
      <c r="K80" s="510" t="s">
        <v>5061</v>
      </c>
      <c r="L80" s="510"/>
      <c r="M80" s="510"/>
      <c r="N80" s="510"/>
      <c r="O80" s="346">
        <v>1</v>
      </c>
    </row>
    <row r="81" spans="2:15" x14ac:dyDescent="0.2">
      <c r="B81" s="336" t="s">
        <v>5039</v>
      </c>
      <c r="C81" s="509" t="s">
        <v>5063</v>
      </c>
      <c r="D81" s="509"/>
      <c r="E81" s="509"/>
      <c r="F81" s="509"/>
      <c r="G81" s="345">
        <v>2</v>
      </c>
      <c r="J81" s="337" t="s">
        <v>3403</v>
      </c>
      <c r="K81" s="510" t="s">
        <v>5061</v>
      </c>
      <c r="L81" s="510"/>
      <c r="M81" s="510"/>
      <c r="N81" s="510"/>
      <c r="O81" s="346">
        <v>1</v>
      </c>
    </row>
    <row r="82" spans="2:15" x14ac:dyDescent="0.2">
      <c r="B82" s="336" t="s">
        <v>3403</v>
      </c>
      <c r="C82" s="509"/>
      <c r="D82" s="509"/>
      <c r="E82" s="509"/>
      <c r="F82" s="509"/>
      <c r="G82" s="345">
        <v>2</v>
      </c>
    </row>
    <row r="88" spans="2:15" ht="50.25" customHeight="1" x14ac:dyDescent="0.2"/>
    <row r="89" spans="2:15" ht="17.25" customHeight="1" x14ac:dyDescent="0.2"/>
  </sheetData>
  <mergeCells count="34">
    <mergeCell ref="C81:F82"/>
    <mergeCell ref="K39:N39"/>
    <mergeCell ref="K40:N40"/>
    <mergeCell ref="K41:N41"/>
    <mergeCell ref="K67:N67"/>
    <mergeCell ref="K68:N72"/>
    <mergeCell ref="K73:N73"/>
    <mergeCell ref="K74:N74"/>
    <mergeCell ref="K75:N75"/>
    <mergeCell ref="K76:N76"/>
    <mergeCell ref="K79:N79"/>
    <mergeCell ref="K80:N80"/>
    <mergeCell ref="K81:N81"/>
    <mergeCell ref="K77:N77"/>
    <mergeCell ref="G7:I7"/>
    <mergeCell ref="J7:K7"/>
    <mergeCell ref="C9:C20"/>
    <mergeCell ref="C68:F79"/>
    <mergeCell ref="C80:F80"/>
    <mergeCell ref="B78:B79"/>
    <mergeCell ref="K27:N27"/>
    <mergeCell ref="K28:N28"/>
    <mergeCell ref="K29:N29"/>
    <mergeCell ref="K30:N30"/>
    <mergeCell ref="K31:N31"/>
    <mergeCell ref="K32:N32"/>
    <mergeCell ref="K33:N33"/>
    <mergeCell ref="K34:N34"/>
    <mergeCell ref="K35:N35"/>
    <mergeCell ref="K36:N36"/>
    <mergeCell ref="K37:N37"/>
    <mergeCell ref="K38:N38"/>
    <mergeCell ref="K78:N78"/>
    <mergeCell ref="C67:F67"/>
  </mergeCells>
  <hyperlinks>
    <hyperlink ref="C80" r:id="rId1" display="https://soguipami.net/wp-content/uploads/2022/02/RAPPORT-General-et-rapports-speciaux-du-commissaire-aux-comptes.pdf" xr:uid="{3F7B7F4C-6524-4E3C-AF04-177F656E68A0}"/>
  </hyperlinks>
  <pageMargins left="0.7" right="0.7" top="0.75" bottom="0.75" header="0.3" footer="0.3"/>
  <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51229-5C15-467F-AE59-AE6AF48FF4A8}">
  <dimension ref="B2"/>
  <sheetViews>
    <sheetView showGridLines="0" zoomScale="85" zoomScaleNormal="85" workbookViewId="0">
      <selection activeCell="B3" sqref="B3"/>
    </sheetView>
  </sheetViews>
  <sheetFormatPr defaultColWidth="11.43359375" defaultRowHeight="15" x14ac:dyDescent="0.2"/>
  <sheetData>
    <row r="2" spans="2:2" x14ac:dyDescent="0.2">
      <c r="B2" s="3" t="s">
        <v>5065</v>
      </c>
    </row>
  </sheetData>
  <pageMargins left="0.7" right="0.7" top="0.75" bottom="0.75" header="0.3" footer="0.3"/>
  <drawing r:id="rId1"/>
  <legacyDrawing r:id="rId2"/>
  <oleObjects>
    <mc:AlternateContent xmlns:mc="http://schemas.openxmlformats.org/markup-compatibility/2006">
      <mc:Choice Requires="x14">
        <oleObject progId="Worksheet" dvAspect="DVASPECT_ICON" shapeId="67585" r:id="rId3">
          <objectPr defaultSize="0" r:id="rId4">
            <anchor moveWithCells="1">
              <from>
                <xdr:col>2</xdr:col>
                <xdr:colOff>0</xdr:colOff>
                <xdr:row>5</xdr:row>
                <xdr:rowOff>0</xdr:rowOff>
              </from>
              <to>
                <xdr:col>3</xdr:col>
                <xdr:colOff>121920</xdr:colOff>
                <xdr:row>8</xdr:row>
                <xdr:rowOff>137160</xdr:rowOff>
              </to>
            </anchor>
          </objectPr>
        </oleObject>
      </mc:Choice>
      <mc:Fallback>
        <oleObject progId="Worksheet" dvAspect="DVASPECT_ICON" shapeId="67585" r:id="rId3"/>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26DD3-4637-438E-9DBA-33FB08AEBD5A}">
  <dimension ref="B1:F32"/>
  <sheetViews>
    <sheetView showGridLines="0" zoomScale="80" zoomScaleNormal="80" workbookViewId="0">
      <selection activeCell="F3" sqref="F3"/>
    </sheetView>
  </sheetViews>
  <sheetFormatPr defaultColWidth="11.56640625" defaultRowHeight="13.5" x14ac:dyDescent="0.2"/>
  <cols>
    <col min="1" max="1" width="5.6484375" style="7" customWidth="1"/>
    <col min="2" max="2" width="3.09375" style="7" bestFit="1" customWidth="1"/>
    <col min="3" max="3" width="37.53125" style="7" bestFit="1" customWidth="1"/>
    <col min="4" max="4" width="39.81640625" style="7" bestFit="1" customWidth="1"/>
    <col min="5" max="5" width="12.64453125" style="7" customWidth="1"/>
    <col min="6" max="6" width="31.34375" style="7" bestFit="1" customWidth="1"/>
    <col min="7" max="7" width="11.8359375" style="7" bestFit="1" customWidth="1"/>
    <col min="8" max="16384" width="11.56640625" style="7"/>
  </cols>
  <sheetData>
    <row r="1" spans="2:6" ht="14.25" x14ac:dyDescent="0.15">
      <c r="B1" s="3" t="s">
        <v>5066</v>
      </c>
      <c r="C1" s="4"/>
    </row>
    <row r="3" spans="2:6" ht="12" x14ac:dyDescent="0.15">
      <c r="B3" s="113" t="s">
        <v>22</v>
      </c>
      <c r="C3" s="114" t="s">
        <v>23</v>
      </c>
      <c r="D3" s="113" t="s">
        <v>680</v>
      </c>
      <c r="E3" s="115" t="s">
        <v>681</v>
      </c>
      <c r="F3" s="115" t="s">
        <v>5067</v>
      </c>
    </row>
    <row r="4" spans="2:6" ht="12" x14ac:dyDescent="0.2">
      <c r="B4" s="378">
        <v>1</v>
      </c>
      <c r="C4" s="381" t="s">
        <v>28</v>
      </c>
      <c r="D4" s="120" t="s">
        <v>682</v>
      </c>
      <c r="E4" s="124">
        <v>0.1</v>
      </c>
      <c r="F4" s="120" t="s">
        <v>683</v>
      </c>
    </row>
    <row r="5" spans="2:6" ht="12" x14ac:dyDescent="0.2">
      <c r="B5" s="379"/>
      <c r="C5" s="382"/>
      <c r="D5" s="376" t="s">
        <v>684</v>
      </c>
      <c r="E5" s="373">
        <v>0.40500000000000003</v>
      </c>
      <c r="F5" s="120" t="s">
        <v>685</v>
      </c>
    </row>
    <row r="6" spans="2:6" ht="12" x14ac:dyDescent="0.2">
      <c r="B6" s="379"/>
      <c r="C6" s="382"/>
      <c r="D6" s="376"/>
      <c r="E6" s="374"/>
      <c r="F6" s="120" t="s">
        <v>686</v>
      </c>
    </row>
    <row r="7" spans="2:6" ht="12" x14ac:dyDescent="0.2">
      <c r="B7" s="379"/>
      <c r="C7" s="382"/>
      <c r="D7" s="376"/>
      <c r="E7" s="374"/>
      <c r="F7" s="120" t="s">
        <v>687</v>
      </c>
    </row>
    <row r="8" spans="2:6" ht="12" x14ac:dyDescent="0.2">
      <c r="B8" s="379"/>
      <c r="C8" s="382"/>
      <c r="D8" s="376"/>
      <c r="E8" s="375"/>
      <c r="F8" s="120" t="s">
        <v>688</v>
      </c>
    </row>
    <row r="9" spans="2:6" ht="12" x14ac:dyDescent="0.2">
      <c r="B9" s="379"/>
      <c r="C9" s="382"/>
      <c r="D9" s="376" t="s">
        <v>689</v>
      </c>
      <c r="E9" s="124">
        <v>0.27</v>
      </c>
      <c r="F9" s="120" t="s">
        <v>690</v>
      </c>
    </row>
    <row r="10" spans="2:6" ht="12" x14ac:dyDescent="0.2">
      <c r="B10" s="379"/>
      <c r="C10" s="382"/>
      <c r="D10" s="376"/>
      <c r="E10" s="124"/>
      <c r="F10" s="120" t="s">
        <v>691</v>
      </c>
    </row>
    <row r="11" spans="2:6" ht="12" x14ac:dyDescent="0.2">
      <c r="B11" s="379"/>
      <c r="C11" s="382"/>
      <c r="D11" s="376"/>
      <c r="E11" s="124"/>
      <c r="F11" s="120" t="s">
        <v>692</v>
      </c>
    </row>
    <row r="12" spans="2:6" ht="12" x14ac:dyDescent="0.2">
      <c r="B12" s="380"/>
      <c r="C12" s="383"/>
      <c r="D12" s="120" t="s">
        <v>693</v>
      </c>
      <c r="E12" s="124">
        <v>0.22500000000000001</v>
      </c>
      <c r="F12" s="120" t="s">
        <v>694</v>
      </c>
    </row>
    <row r="13" spans="2:6" ht="12" x14ac:dyDescent="0.2">
      <c r="B13" s="377">
        <v>2</v>
      </c>
      <c r="C13" s="376" t="s">
        <v>32</v>
      </c>
      <c r="D13" s="120" t="s">
        <v>695</v>
      </c>
      <c r="E13" s="124">
        <v>0.49</v>
      </c>
      <c r="F13" s="120" t="s">
        <v>696</v>
      </c>
    </row>
    <row r="14" spans="2:6" ht="12" x14ac:dyDescent="0.2">
      <c r="B14" s="377"/>
      <c r="C14" s="376"/>
      <c r="D14" s="120" t="s">
        <v>697</v>
      </c>
      <c r="E14" s="124">
        <v>0.23</v>
      </c>
      <c r="F14" s="120" t="s">
        <v>57</v>
      </c>
    </row>
    <row r="15" spans="2:6" ht="12" x14ac:dyDescent="0.2">
      <c r="B15" s="377"/>
      <c r="C15" s="376"/>
      <c r="D15" s="120" t="s">
        <v>698</v>
      </c>
      <c r="E15" s="124">
        <v>0.23</v>
      </c>
      <c r="F15" s="120" t="s">
        <v>57</v>
      </c>
    </row>
    <row r="16" spans="2:6" ht="12" x14ac:dyDescent="0.2">
      <c r="B16" s="377"/>
      <c r="C16" s="376"/>
      <c r="D16" s="120" t="s">
        <v>699</v>
      </c>
      <c r="E16" s="124">
        <v>0.05</v>
      </c>
      <c r="F16" s="120" t="s">
        <v>57</v>
      </c>
    </row>
    <row r="17" spans="2:6" ht="12" x14ac:dyDescent="0.2">
      <c r="B17" s="377">
        <v>3</v>
      </c>
      <c r="C17" s="376" t="s">
        <v>36</v>
      </c>
      <c r="D17" s="120" t="s">
        <v>700</v>
      </c>
      <c r="E17" s="124">
        <v>0.92500000000000004</v>
      </c>
      <c r="F17" s="120" t="s">
        <v>57</v>
      </c>
    </row>
    <row r="18" spans="2:6" ht="12" x14ac:dyDescent="0.2">
      <c r="B18" s="377"/>
      <c r="C18" s="376"/>
      <c r="D18" s="120" t="s">
        <v>701</v>
      </c>
      <c r="E18" s="124">
        <v>7.4999999999999997E-2</v>
      </c>
      <c r="F18" s="120" t="s">
        <v>702</v>
      </c>
    </row>
    <row r="19" spans="2:6" ht="12" x14ac:dyDescent="0.2">
      <c r="B19" s="377">
        <v>4</v>
      </c>
      <c r="C19" s="376" t="s">
        <v>44</v>
      </c>
      <c r="D19" s="120" t="s">
        <v>703</v>
      </c>
      <c r="E19" s="124">
        <v>0.05</v>
      </c>
      <c r="F19" s="120" t="s">
        <v>704</v>
      </c>
    </row>
    <row r="20" spans="2:6" ht="12" x14ac:dyDescent="0.2">
      <c r="B20" s="377"/>
      <c r="C20" s="376"/>
      <c r="D20" s="120" t="s">
        <v>705</v>
      </c>
      <c r="E20" s="124">
        <v>0.85</v>
      </c>
      <c r="F20" s="120" t="s">
        <v>57</v>
      </c>
    </row>
    <row r="21" spans="2:6" ht="12" x14ac:dyDescent="0.2">
      <c r="B21" s="377"/>
      <c r="C21" s="376"/>
      <c r="D21" s="120" t="s">
        <v>706</v>
      </c>
      <c r="E21" s="124">
        <v>0.1</v>
      </c>
      <c r="F21" s="120" t="s">
        <v>696</v>
      </c>
    </row>
    <row r="22" spans="2:6" ht="12" x14ac:dyDescent="0.2">
      <c r="B22" s="377">
        <v>5</v>
      </c>
      <c r="C22" s="376" t="s">
        <v>40</v>
      </c>
      <c r="D22" s="120" t="s">
        <v>707</v>
      </c>
      <c r="E22" s="124">
        <v>0.1</v>
      </c>
      <c r="F22" s="120" t="s">
        <v>696</v>
      </c>
    </row>
    <row r="23" spans="2:6" ht="12" x14ac:dyDescent="0.2">
      <c r="B23" s="377"/>
      <c r="C23" s="376"/>
      <c r="D23" s="120" t="s">
        <v>708</v>
      </c>
      <c r="E23" s="124">
        <v>0.9</v>
      </c>
      <c r="F23" s="120" t="s">
        <v>57</v>
      </c>
    </row>
    <row r="24" spans="2:6" ht="21.75" x14ac:dyDescent="0.15">
      <c r="B24" s="123">
        <v>6</v>
      </c>
      <c r="C24" s="125" t="s">
        <v>48</v>
      </c>
      <c r="D24" s="120" t="s">
        <v>57</v>
      </c>
      <c r="E24" s="126" t="s">
        <v>57</v>
      </c>
      <c r="F24" s="120" t="s">
        <v>57</v>
      </c>
    </row>
    <row r="25" spans="2:6" ht="12" x14ac:dyDescent="0.2">
      <c r="B25" s="123">
        <v>7</v>
      </c>
      <c r="C25" s="120" t="s">
        <v>51</v>
      </c>
      <c r="D25" s="120" t="s">
        <v>57</v>
      </c>
      <c r="E25" s="127" t="s">
        <v>57</v>
      </c>
      <c r="F25" s="120" t="s">
        <v>57</v>
      </c>
    </row>
    <row r="26" spans="2:6" ht="12" x14ac:dyDescent="0.2">
      <c r="B26" s="123">
        <v>8</v>
      </c>
      <c r="C26" s="120" t="s">
        <v>56</v>
      </c>
      <c r="D26" s="120" t="s">
        <v>57</v>
      </c>
      <c r="E26" s="126" t="s">
        <v>57</v>
      </c>
      <c r="F26" s="120" t="s">
        <v>57</v>
      </c>
    </row>
    <row r="27" spans="2:6" ht="12" x14ac:dyDescent="0.2">
      <c r="B27" s="123">
        <v>9</v>
      </c>
      <c r="C27" s="120" t="s">
        <v>58</v>
      </c>
      <c r="D27" s="120" t="s">
        <v>57</v>
      </c>
      <c r="E27" s="127" t="s">
        <v>57</v>
      </c>
      <c r="F27" s="120" t="s">
        <v>57</v>
      </c>
    </row>
    <row r="28" spans="2:6" ht="12" x14ac:dyDescent="0.2">
      <c r="B28" s="123">
        <v>10</v>
      </c>
      <c r="C28" s="120" t="s">
        <v>59</v>
      </c>
      <c r="D28" s="120" t="s">
        <v>57</v>
      </c>
      <c r="E28" s="126" t="s">
        <v>57</v>
      </c>
      <c r="F28" s="120" t="s">
        <v>57</v>
      </c>
    </row>
    <row r="29" spans="2:6" ht="12" x14ac:dyDescent="0.2">
      <c r="B29" s="123">
        <v>11</v>
      </c>
      <c r="C29" s="120" t="s">
        <v>60</v>
      </c>
      <c r="D29" s="120" t="s">
        <v>57</v>
      </c>
      <c r="E29" s="127" t="s">
        <v>57</v>
      </c>
      <c r="F29" s="120" t="s">
        <v>57</v>
      </c>
    </row>
    <row r="30" spans="2:6" ht="12" x14ac:dyDescent="0.2">
      <c r="B30" s="123">
        <v>12</v>
      </c>
      <c r="C30" s="120" t="s">
        <v>61</v>
      </c>
      <c r="D30" s="120" t="s">
        <v>57</v>
      </c>
      <c r="E30" s="126" t="s">
        <v>57</v>
      </c>
      <c r="F30" s="120" t="s">
        <v>57</v>
      </c>
    </row>
    <row r="32" spans="2:6" ht="12" x14ac:dyDescent="0.2">
      <c r="B32" s="292" t="s">
        <v>62</v>
      </c>
    </row>
  </sheetData>
  <mergeCells count="13">
    <mergeCell ref="B17:B18"/>
    <mergeCell ref="C17:C18"/>
    <mergeCell ref="C19:C21"/>
    <mergeCell ref="B19:B21"/>
    <mergeCell ref="C22:C23"/>
    <mergeCell ref="B22:B23"/>
    <mergeCell ref="E5:E8"/>
    <mergeCell ref="D5:D8"/>
    <mergeCell ref="D9:D11"/>
    <mergeCell ref="C13:C16"/>
    <mergeCell ref="B13:B16"/>
    <mergeCell ref="B4:B12"/>
    <mergeCell ref="C4:C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CA475-30AD-4D71-987D-35B2A77E8927}">
  <dimension ref="B1:K39"/>
  <sheetViews>
    <sheetView showGridLines="0" tabSelected="1" zoomScale="80" zoomScaleNormal="80" workbookViewId="0">
      <selection activeCell="J24" sqref="J24"/>
    </sheetView>
  </sheetViews>
  <sheetFormatPr defaultColWidth="11.56640625" defaultRowHeight="12" x14ac:dyDescent="0.15"/>
  <cols>
    <col min="1" max="1" width="2.28515625" style="4" customWidth="1"/>
    <col min="2" max="2" width="11.56640625" style="4"/>
    <col min="3" max="3" width="67.93359375" style="4" bestFit="1" customWidth="1"/>
    <col min="4" max="4" width="17.484375" style="4" customWidth="1"/>
    <col min="5" max="5" width="13.71875" style="4" customWidth="1"/>
    <col min="6" max="6" width="12.9140625" style="4" customWidth="1"/>
    <col min="7" max="7" width="17.890625" style="4" bestFit="1" customWidth="1"/>
    <col min="8" max="8" width="15.6015625" style="4" customWidth="1"/>
    <col min="9" max="9" width="17.3515625" style="4" customWidth="1"/>
    <col min="10" max="10" width="17.890625" style="4" bestFit="1" customWidth="1"/>
    <col min="11" max="11" width="11.56640625" style="64"/>
    <col min="12" max="16384" width="11.56640625" style="4"/>
  </cols>
  <sheetData>
    <row r="1" spans="2:11" ht="14.25" x14ac:dyDescent="0.15">
      <c r="B1" s="3" t="s">
        <v>2</v>
      </c>
    </row>
    <row r="3" spans="2:11" x14ac:dyDescent="0.15">
      <c r="B3" s="135" t="s">
        <v>709</v>
      </c>
      <c r="E3" s="384" t="s">
        <v>710</v>
      </c>
      <c r="F3" s="384"/>
      <c r="G3" s="384"/>
      <c r="H3" s="384"/>
      <c r="I3" s="384"/>
      <c r="J3" s="384"/>
    </row>
    <row r="4" spans="2:11" ht="42.75" x14ac:dyDescent="0.15">
      <c r="B4" s="113" t="s">
        <v>22</v>
      </c>
      <c r="C4" s="113" t="s">
        <v>23</v>
      </c>
      <c r="D4" s="115" t="s">
        <v>711</v>
      </c>
      <c r="E4" s="115" t="s">
        <v>712</v>
      </c>
      <c r="F4" s="115" t="s">
        <v>713</v>
      </c>
      <c r="G4" s="115" t="s">
        <v>714</v>
      </c>
      <c r="H4" s="115" t="s">
        <v>715</v>
      </c>
      <c r="I4" s="115" t="s">
        <v>716</v>
      </c>
      <c r="J4" s="115" t="s">
        <v>714</v>
      </c>
      <c r="K4" s="199" t="s">
        <v>717</v>
      </c>
    </row>
    <row r="5" spans="2:11" x14ac:dyDescent="0.15">
      <c r="B5" s="119">
        <v>1</v>
      </c>
      <c r="C5" s="120" t="s">
        <v>28</v>
      </c>
      <c r="D5" s="120" t="s">
        <v>718</v>
      </c>
      <c r="E5" s="119" t="s">
        <v>719</v>
      </c>
      <c r="F5" s="119" t="s">
        <v>719</v>
      </c>
      <c r="G5" s="119" t="s">
        <v>719</v>
      </c>
      <c r="H5" s="119" t="s">
        <v>719</v>
      </c>
      <c r="I5" s="119" t="s">
        <v>696</v>
      </c>
      <c r="J5" s="119" t="s">
        <v>696</v>
      </c>
      <c r="K5" s="371" t="s">
        <v>720</v>
      </c>
    </row>
    <row r="6" spans="2:11" x14ac:dyDescent="0.15">
      <c r="B6" s="119">
        <v>2</v>
      </c>
      <c r="C6" s="120" t="s">
        <v>32</v>
      </c>
      <c r="D6" s="120" t="s">
        <v>718</v>
      </c>
      <c r="E6" s="119" t="s">
        <v>718</v>
      </c>
      <c r="F6" s="119" t="s">
        <v>718</v>
      </c>
      <c r="G6" s="119" t="s">
        <v>721</v>
      </c>
      <c r="H6" s="119" t="s">
        <v>718</v>
      </c>
      <c r="I6" s="119" t="s">
        <v>722</v>
      </c>
      <c r="J6" s="119" t="s">
        <v>721</v>
      </c>
      <c r="K6" s="371" t="s">
        <v>723</v>
      </c>
    </row>
    <row r="7" spans="2:11" x14ac:dyDescent="0.15">
      <c r="B7" s="119">
        <v>3</v>
      </c>
      <c r="C7" s="120" t="s">
        <v>36</v>
      </c>
      <c r="D7" s="120" t="s">
        <v>718</v>
      </c>
      <c r="E7" s="119" t="s">
        <v>719</v>
      </c>
      <c r="F7" s="119" t="s">
        <v>719</v>
      </c>
      <c r="G7" s="119" t="s">
        <v>719</v>
      </c>
      <c r="H7" s="119" t="s">
        <v>719</v>
      </c>
      <c r="I7" s="119" t="s">
        <v>719</v>
      </c>
      <c r="J7" s="119" t="s">
        <v>719</v>
      </c>
      <c r="K7" s="371" t="s">
        <v>720</v>
      </c>
    </row>
    <row r="8" spans="2:11" x14ac:dyDescent="0.15">
      <c r="B8" s="121">
        <v>4</v>
      </c>
      <c r="C8" s="122" t="s">
        <v>40</v>
      </c>
      <c r="D8" s="120" t="s">
        <v>718</v>
      </c>
      <c r="E8" s="119" t="s">
        <v>719</v>
      </c>
      <c r="F8" s="119" t="s">
        <v>719</v>
      </c>
      <c r="G8" s="119" t="s">
        <v>719</v>
      </c>
      <c r="H8" s="119" t="s">
        <v>719</v>
      </c>
      <c r="I8" s="119" t="s">
        <v>719</v>
      </c>
      <c r="J8" s="119" t="s">
        <v>719</v>
      </c>
      <c r="K8" s="371" t="s">
        <v>720</v>
      </c>
    </row>
    <row r="9" spans="2:11" x14ac:dyDescent="0.15">
      <c r="B9" s="123">
        <v>5</v>
      </c>
      <c r="C9" s="120" t="s">
        <v>44</v>
      </c>
      <c r="D9" s="120" t="s">
        <v>718</v>
      </c>
      <c r="E9" s="119" t="s">
        <v>719</v>
      </c>
      <c r="F9" s="119" t="s">
        <v>719</v>
      </c>
      <c r="G9" s="119" t="s">
        <v>719</v>
      </c>
      <c r="H9" s="119" t="s">
        <v>719</v>
      </c>
      <c r="I9" s="119" t="s">
        <v>719</v>
      </c>
      <c r="J9" s="119" t="s">
        <v>719</v>
      </c>
      <c r="K9" s="371" t="s">
        <v>720</v>
      </c>
    </row>
    <row r="10" spans="2:11" x14ac:dyDescent="0.15">
      <c r="B10" s="119">
        <v>6</v>
      </c>
      <c r="C10" s="120" t="s">
        <v>724</v>
      </c>
      <c r="D10" s="120" t="s">
        <v>719</v>
      </c>
      <c r="E10" s="119" t="s">
        <v>57</v>
      </c>
      <c r="F10" s="119" t="s">
        <v>57</v>
      </c>
      <c r="G10" s="119" t="s">
        <v>57</v>
      </c>
      <c r="H10" s="119" t="s">
        <v>57</v>
      </c>
      <c r="I10" s="119" t="s">
        <v>57</v>
      </c>
      <c r="J10" s="119" t="s">
        <v>57</v>
      </c>
      <c r="K10" s="371" t="s">
        <v>720</v>
      </c>
    </row>
    <row r="11" spans="2:11" x14ac:dyDescent="0.15">
      <c r="B11" s="121">
        <v>7</v>
      </c>
      <c r="C11" s="122" t="s">
        <v>51</v>
      </c>
      <c r="D11" s="120" t="s">
        <v>719</v>
      </c>
      <c r="E11" s="119" t="s">
        <v>57</v>
      </c>
      <c r="F11" s="119" t="s">
        <v>57</v>
      </c>
      <c r="G11" s="119" t="s">
        <v>57</v>
      </c>
      <c r="H11" s="119" t="s">
        <v>57</v>
      </c>
      <c r="I11" s="119" t="s">
        <v>57</v>
      </c>
      <c r="J11" s="119" t="s">
        <v>57</v>
      </c>
      <c r="K11" s="371" t="s">
        <v>720</v>
      </c>
    </row>
    <row r="12" spans="2:11" x14ac:dyDescent="0.15">
      <c r="B12" s="121">
        <v>8</v>
      </c>
      <c r="C12" s="122" t="s">
        <v>56</v>
      </c>
      <c r="D12" s="120" t="s">
        <v>719</v>
      </c>
      <c r="E12" s="119" t="s">
        <v>57</v>
      </c>
      <c r="F12" s="119" t="s">
        <v>57</v>
      </c>
      <c r="G12" s="119" t="s">
        <v>57</v>
      </c>
      <c r="H12" s="119" t="s">
        <v>57</v>
      </c>
      <c r="I12" s="119" t="s">
        <v>57</v>
      </c>
      <c r="J12" s="119" t="s">
        <v>57</v>
      </c>
      <c r="K12" s="371" t="s">
        <v>720</v>
      </c>
    </row>
    <row r="13" spans="2:11" x14ac:dyDescent="0.15">
      <c r="B13" s="121">
        <v>9</v>
      </c>
      <c r="C13" s="122" t="s">
        <v>58</v>
      </c>
      <c r="D13" s="120" t="s">
        <v>719</v>
      </c>
      <c r="E13" s="119" t="s">
        <v>57</v>
      </c>
      <c r="F13" s="119" t="s">
        <v>57</v>
      </c>
      <c r="G13" s="119" t="s">
        <v>57</v>
      </c>
      <c r="H13" s="119" t="s">
        <v>57</v>
      </c>
      <c r="I13" s="119" t="s">
        <v>57</v>
      </c>
      <c r="J13" s="119" t="s">
        <v>57</v>
      </c>
      <c r="K13" s="371" t="s">
        <v>720</v>
      </c>
    </row>
    <row r="14" spans="2:11" x14ac:dyDescent="0.15">
      <c r="B14" s="121">
        <v>10</v>
      </c>
      <c r="C14" s="122" t="s">
        <v>59</v>
      </c>
      <c r="D14" s="120" t="s">
        <v>719</v>
      </c>
      <c r="E14" s="119" t="s">
        <v>57</v>
      </c>
      <c r="F14" s="119" t="s">
        <v>57</v>
      </c>
      <c r="G14" s="119" t="s">
        <v>57</v>
      </c>
      <c r="H14" s="119" t="s">
        <v>57</v>
      </c>
      <c r="I14" s="119" t="s">
        <v>57</v>
      </c>
      <c r="J14" s="119" t="s">
        <v>57</v>
      </c>
      <c r="K14" s="371" t="s">
        <v>720</v>
      </c>
    </row>
    <row r="15" spans="2:11" x14ac:dyDescent="0.15">
      <c r="B15" s="121">
        <v>11</v>
      </c>
      <c r="C15" s="122" t="s">
        <v>60</v>
      </c>
      <c r="D15" s="120" t="s">
        <v>719</v>
      </c>
      <c r="E15" s="119" t="s">
        <v>57</v>
      </c>
      <c r="F15" s="119" t="s">
        <v>57</v>
      </c>
      <c r="G15" s="119" t="s">
        <v>57</v>
      </c>
      <c r="H15" s="119" t="s">
        <v>57</v>
      </c>
      <c r="I15" s="119" t="s">
        <v>57</v>
      </c>
      <c r="J15" s="119" t="s">
        <v>57</v>
      </c>
      <c r="K15" s="371" t="s">
        <v>720</v>
      </c>
    </row>
    <row r="16" spans="2:11" ht="12.75" thickBot="1" x14ac:dyDescent="0.2">
      <c r="B16" s="121">
        <v>12</v>
      </c>
      <c r="C16" s="122" t="s">
        <v>61</v>
      </c>
      <c r="D16" s="120" t="s">
        <v>718</v>
      </c>
      <c r="E16" s="119" t="s">
        <v>718</v>
      </c>
      <c r="F16" s="119" t="s">
        <v>718</v>
      </c>
      <c r="G16" s="119" t="s">
        <v>721</v>
      </c>
      <c r="H16" s="119" t="s">
        <v>718</v>
      </c>
      <c r="I16" s="119" t="s">
        <v>57</v>
      </c>
      <c r="J16" s="119" t="s">
        <v>57</v>
      </c>
      <c r="K16" s="371" t="s">
        <v>723</v>
      </c>
    </row>
    <row r="17" spans="2:11" ht="12.75" thickBot="1" x14ac:dyDescent="0.2">
      <c r="J17" s="4" t="s">
        <v>5068</v>
      </c>
      <c r="K17" s="372" t="s">
        <v>720</v>
      </c>
    </row>
    <row r="21" spans="2:11" x14ac:dyDescent="0.15">
      <c r="B21" s="135" t="s">
        <v>725</v>
      </c>
      <c r="E21" s="384" t="s">
        <v>710</v>
      </c>
      <c r="F21" s="384"/>
      <c r="G21" s="384"/>
    </row>
    <row r="22" spans="2:11" ht="21.75" x14ac:dyDescent="0.15">
      <c r="B22" s="113" t="s">
        <v>22</v>
      </c>
      <c r="C22" s="113" t="s">
        <v>23</v>
      </c>
      <c r="D22" s="115" t="s">
        <v>711</v>
      </c>
      <c r="E22" s="115" t="s">
        <v>726</v>
      </c>
      <c r="F22" s="115" t="s">
        <v>727</v>
      </c>
      <c r="G22" s="115" t="s">
        <v>728</v>
      </c>
      <c r="H22" s="199" t="s">
        <v>717</v>
      </c>
    </row>
    <row r="23" spans="2:11" x14ac:dyDescent="0.15">
      <c r="B23" s="116">
        <v>1</v>
      </c>
      <c r="C23" s="196" t="s">
        <v>729</v>
      </c>
      <c r="D23" s="125" t="s">
        <v>718</v>
      </c>
      <c r="E23" s="122" t="s">
        <v>719</v>
      </c>
      <c r="F23" s="122" t="s">
        <v>730</v>
      </c>
      <c r="G23" s="122" t="s">
        <v>718</v>
      </c>
      <c r="H23" s="125" t="s">
        <v>723</v>
      </c>
    </row>
    <row r="24" spans="2:11" x14ac:dyDescent="0.15">
      <c r="B24" s="116">
        <f>B23+1</f>
        <v>2</v>
      </c>
      <c r="C24" s="196" t="s">
        <v>731</v>
      </c>
      <c r="D24" s="125" t="s">
        <v>718</v>
      </c>
      <c r="E24" s="122" t="s">
        <v>719</v>
      </c>
      <c r="F24" s="122" t="s">
        <v>730</v>
      </c>
      <c r="G24" s="122" t="s">
        <v>718</v>
      </c>
      <c r="H24" s="125" t="s">
        <v>723</v>
      </c>
    </row>
    <row r="25" spans="2:11" x14ac:dyDescent="0.15">
      <c r="B25" s="116">
        <f t="shared" ref="B25:B38" si="0">B24+1</f>
        <v>3</v>
      </c>
      <c r="C25" s="196" t="s">
        <v>732</v>
      </c>
      <c r="D25" s="125" t="s">
        <v>718</v>
      </c>
      <c r="E25" s="122" t="s">
        <v>719</v>
      </c>
      <c r="F25" s="122" t="s">
        <v>730</v>
      </c>
      <c r="G25" s="122" t="s">
        <v>718</v>
      </c>
      <c r="H25" s="125" t="s">
        <v>723</v>
      </c>
    </row>
    <row r="26" spans="2:11" x14ac:dyDescent="0.15">
      <c r="B26" s="116">
        <f t="shared" si="0"/>
        <v>4</v>
      </c>
      <c r="C26" s="196" t="s">
        <v>733</v>
      </c>
      <c r="D26" s="125" t="s">
        <v>718</v>
      </c>
      <c r="E26" s="122" t="s">
        <v>719</v>
      </c>
      <c r="F26" s="122" t="s">
        <v>730</v>
      </c>
      <c r="G26" s="122" t="s">
        <v>718</v>
      </c>
      <c r="H26" s="125" t="s">
        <v>723</v>
      </c>
    </row>
    <row r="27" spans="2:11" x14ac:dyDescent="0.15">
      <c r="B27" s="116">
        <f t="shared" si="0"/>
        <v>5</v>
      </c>
      <c r="C27" s="196" t="s">
        <v>734</v>
      </c>
      <c r="D27" s="125" t="s">
        <v>718</v>
      </c>
      <c r="E27" s="122" t="s">
        <v>719</v>
      </c>
      <c r="F27" s="122" t="s">
        <v>730</v>
      </c>
      <c r="G27" s="122" t="s">
        <v>719</v>
      </c>
      <c r="H27" s="368" t="s">
        <v>720</v>
      </c>
    </row>
    <row r="28" spans="2:11" x14ac:dyDescent="0.15">
      <c r="B28" s="116">
        <f t="shared" si="0"/>
        <v>6</v>
      </c>
      <c r="C28" s="196" t="s">
        <v>735</v>
      </c>
      <c r="D28" s="125" t="s">
        <v>718</v>
      </c>
      <c r="E28" s="122" t="s">
        <v>719</v>
      </c>
      <c r="F28" s="122" t="s">
        <v>730</v>
      </c>
      <c r="G28" s="122" t="s">
        <v>719</v>
      </c>
      <c r="H28" s="368" t="s">
        <v>720</v>
      </c>
    </row>
    <row r="29" spans="2:11" x14ac:dyDescent="0.15">
      <c r="B29" s="116">
        <f t="shared" si="0"/>
        <v>7</v>
      </c>
      <c r="C29" s="196" t="s">
        <v>736</v>
      </c>
      <c r="D29" s="125" t="s">
        <v>718</v>
      </c>
      <c r="E29" s="122" t="s">
        <v>719</v>
      </c>
      <c r="F29" s="122" t="s">
        <v>730</v>
      </c>
      <c r="G29" s="122" t="s">
        <v>718</v>
      </c>
      <c r="H29" s="125" t="s">
        <v>723</v>
      </c>
    </row>
    <row r="30" spans="2:11" x14ac:dyDescent="0.15">
      <c r="B30" s="116">
        <f t="shared" si="0"/>
        <v>8</v>
      </c>
      <c r="C30" s="196" t="s">
        <v>737</v>
      </c>
      <c r="D30" s="125" t="s">
        <v>718</v>
      </c>
      <c r="E30" s="122" t="s">
        <v>719</v>
      </c>
      <c r="F30" s="122" t="s">
        <v>730</v>
      </c>
      <c r="G30" s="122" t="s">
        <v>718</v>
      </c>
      <c r="H30" s="125" t="s">
        <v>723</v>
      </c>
    </row>
    <row r="31" spans="2:11" x14ac:dyDescent="0.15">
      <c r="B31" s="116">
        <f t="shared" si="0"/>
        <v>9</v>
      </c>
      <c r="C31" s="196" t="s">
        <v>738</v>
      </c>
      <c r="D31" s="125" t="s">
        <v>718</v>
      </c>
      <c r="E31" s="122" t="s">
        <v>719</v>
      </c>
      <c r="F31" s="122" t="s">
        <v>730</v>
      </c>
      <c r="G31" s="122" t="s">
        <v>730</v>
      </c>
      <c r="H31" s="368" t="s">
        <v>730</v>
      </c>
    </row>
    <row r="32" spans="2:11" x14ac:dyDescent="0.15">
      <c r="B32" s="116">
        <f t="shared" si="0"/>
        <v>10</v>
      </c>
      <c r="C32" s="196" t="s">
        <v>739</v>
      </c>
      <c r="D32" s="125" t="s">
        <v>740</v>
      </c>
      <c r="E32" s="122" t="s">
        <v>719</v>
      </c>
      <c r="F32" s="122" t="s">
        <v>730</v>
      </c>
      <c r="G32" s="122" t="s">
        <v>718</v>
      </c>
      <c r="H32" s="125" t="s">
        <v>723</v>
      </c>
    </row>
    <row r="33" spans="2:8" x14ac:dyDescent="0.15">
      <c r="B33" s="116">
        <f t="shared" si="0"/>
        <v>11</v>
      </c>
      <c r="C33" s="196" t="s">
        <v>741</v>
      </c>
      <c r="D33" s="125" t="s">
        <v>718</v>
      </c>
      <c r="E33" s="122" t="s">
        <v>719</v>
      </c>
      <c r="F33" s="122" t="s">
        <v>730</v>
      </c>
      <c r="G33" s="122" t="s">
        <v>730</v>
      </c>
      <c r="H33" s="368" t="s">
        <v>730</v>
      </c>
    </row>
    <row r="34" spans="2:8" x14ac:dyDescent="0.15">
      <c r="B34" s="116">
        <f t="shared" si="0"/>
        <v>12</v>
      </c>
      <c r="C34" s="196" t="s">
        <v>742</v>
      </c>
      <c r="D34" s="125" t="s">
        <v>718</v>
      </c>
      <c r="E34" s="122" t="s">
        <v>719</v>
      </c>
      <c r="F34" s="122" t="s">
        <v>730</v>
      </c>
      <c r="G34" s="122" t="s">
        <v>730</v>
      </c>
      <c r="H34" s="368" t="s">
        <v>730</v>
      </c>
    </row>
    <row r="35" spans="2:8" x14ac:dyDescent="0.15">
      <c r="B35" s="116">
        <f t="shared" si="0"/>
        <v>13</v>
      </c>
      <c r="C35" s="196" t="s">
        <v>743</v>
      </c>
      <c r="D35" s="125" t="s">
        <v>719</v>
      </c>
      <c r="E35" s="367"/>
      <c r="F35" s="367"/>
      <c r="G35" s="367"/>
      <c r="H35" s="368" t="s">
        <v>720</v>
      </c>
    </row>
    <row r="36" spans="2:8" x14ac:dyDescent="0.15">
      <c r="B36" s="116">
        <f t="shared" si="0"/>
        <v>14</v>
      </c>
      <c r="C36" s="197" t="s">
        <v>744</v>
      </c>
      <c r="D36" s="125" t="s">
        <v>718</v>
      </c>
      <c r="E36" s="122" t="s">
        <v>719</v>
      </c>
      <c r="F36" s="122" t="s">
        <v>719</v>
      </c>
      <c r="G36" s="122" t="s">
        <v>730</v>
      </c>
      <c r="H36" s="368" t="s">
        <v>720</v>
      </c>
    </row>
    <row r="37" spans="2:8" x14ac:dyDescent="0.15">
      <c r="B37" s="116">
        <f t="shared" si="0"/>
        <v>15</v>
      </c>
      <c r="C37" s="197" t="s">
        <v>745</v>
      </c>
      <c r="D37" s="125" t="s">
        <v>718</v>
      </c>
      <c r="E37" s="122" t="s">
        <v>719</v>
      </c>
      <c r="F37" s="122" t="s">
        <v>719</v>
      </c>
      <c r="G37" s="122" t="s">
        <v>730</v>
      </c>
      <c r="H37" s="368" t="s">
        <v>720</v>
      </c>
    </row>
    <row r="38" spans="2:8" ht="12.75" thickBot="1" x14ac:dyDescent="0.2">
      <c r="B38" s="116">
        <f t="shared" si="0"/>
        <v>16</v>
      </c>
      <c r="C38" s="198" t="s">
        <v>746</v>
      </c>
      <c r="D38" s="125" t="s">
        <v>718</v>
      </c>
      <c r="E38" s="122" t="s">
        <v>719</v>
      </c>
      <c r="F38" s="122" t="s">
        <v>719</v>
      </c>
      <c r="G38" s="122" t="s">
        <v>730</v>
      </c>
      <c r="H38" s="369" t="s">
        <v>720</v>
      </c>
    </row>
    <row r="39" spans="2:8" ht="12.75" thickBot="1" x14ac:dyDescent="0.2">
      <c r="G39" s="4" t="s">
        <v>5068</v>
      </c>
      <c r="H39" s="370" t="s">
        <v>723</v>
      </c>
    </row>
  </sheetData>
  <autoFilter ref="B4:K16" xr:uid="{D8ECA475-30AD-4D71-987D-35B2A77E8927}"/>
  <mergeCells count="2">
    <mergeCell ref="E21:G21"/>
    <mergeCell ref="E3:J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610B6-619B-447E-96CC-D899A011A355}">
  <dimension ref="A1:L306"/>
  <sheetViews>
    <sheetView showGridLines="0" zoomScale="80" zoomScaleNormal="80" workbookViewId="0">
      <selection activeCell="B1" sqref="B1"/>
    </sheetView>
  </sheetViews>
  <sheetFormatPr defaultColWidth="11.56640625" defaultRowHeight="13.5" x14ac:dyDescent="0.2"/>
  <cols>
    <col min="1" max="1" width="6.05078125" style="4" customWidth="1"/>
    <col min="2" max="3" width="11.56640625" style="4"/>
    <col min="4" max="4" width="10.35546875" style="4" bestFit="1" customWidth="1"/>
    <col min="5" max="5" width="12.9140625" style="4" bestFit="1" customWidth="1"/>
    <col min="6" max="6" width="49.90625" style="4" customWidth="1"/>
    <col min="7" max="7" width="11.296875" style="4" bestFit="1" customWidth="1"/>
    <col min="8" max="8" width="11.56640625" style="4"/>
    <col min="9" max="9" width="13.71875" style="4" bestFit="1" customWidth="1"/>
    <col min="10" max="10" width="13.046875" style="4" bestFit="1" customWidth="1"/>
    <col min="11" max="11" width="11.56640625" style="4"/>
    <col min="12" max="12" width="15.06640625" style="4" bestFit="1" customWidth="1"/>
    <col min="13" max="16384" width="11.56640625" style="4"/>
  </cols>
  <sheetData>
    <row r="1" spans="2:10" ht="14.25" x14ac:dyDescent="0.15">
      <c r="B1" s="3" t="s">
        <v>747</v>
      </c>
    </row>
    <row r="3" spans="2:10" ht="12" x14ac:dyDescent="0.15">
      <c r="B3" s="135" t="s">
        <v>28</v>
      </c>
    </row>
    <row r="4" spans="2:10" ht="12" x14ac:dyDescent="0.15">
      <c r="B4" s="385" t="s">
        <v>748</v>
      </c>
      <c r="C4" s="385"/>
      <c r="D4" s="386" t="s">
        <v>749</v>
      </c>
      <c r="E4" s="386" t="s">
        <v>750</v>
      </c>
      <c r="F4" s="386" t="s">
        <v>751</v>
      </c>
      <c r="G4" s="386" t="s">
        <v>752</v>
      </c>
      <c r="H4" s="386"/>
      <c r="I4" s="388" t="s">
        <v>753</v>
      </c>
      <c r="J4" s="389"/>
    </row>
    <row r="5" spans="2:10" ht="12" x14ac:dyDescent="0.15">
      <c r="B5" s="385"/>
      <c r="C5" s="385"/>
      <c r="D5" s="386"/>
      <c r="E5" s="386"/>
      <c r="F5" s="386"/>
      <c r="G5" s="65" t="s">
        <v>754</v>
      </c>
      <c r="H5" s="65" t="s">
        <v>755</v>
      </c>
      <c r="I5" s="65" t="s">
        <v>754</v>
      </c>
      <c r="J5" s="65" t="s">
        <v>755</v>
      </c>
    </row>
    <row r="6" spans="2:10" ht="12" x14ac:dyDescent="0.15">
      <c r="B6" s="385"/>
      <c r="C6" s="385"/>
      <c r="D6" s="385" t="s">
        <v>756</v>
      </c>
      <c r="E6" s="387" t="s">
        <v>757</v>
      </c>
      <c r="F6" s="66" t="s">
        <v>758</v>
      </c>
      <c r="G6" s="67">
        <v>47</v>
      </c>
      <c r="H6" s="67">
        <v>5</v>
      </c>
      <c r="I6" s="390">
        <v>80941739758</v>
      </c>
      <c r="J6" s="390">
        <v>18121466430</v>
      </c>
    </row>
    <row r="7" spans="2:10" ht="12" x14ac:dyDescent="0.15">
      <c r="B7" s="385"/>
      <c r="C7" s="385"/>
      <c r="D7" s="385"/>
      <c r="E7" s="387"/>
      <c r="F7" s="66" t="s">
        <v>759</v>
      </c>
      <c r="G7" s="67">
        <v>456</v>
      </c>
      <c r="H7" s="67">
        <v>19</v>
      </c>
      <c r="I7" s="391"/>
      <c r="J7" s="391"/>
    </row>
    <row r="8" spans="2:10" ht="12" x14ac:dyDescent="0.15">
      <c r="B8" s="385"/>
      <c r="C8" s="385"/>
      <c r="D8" s="385"/>
      <c r="E8" s="387"/>
      <c r="F8" s="66" t="s">
        <v>760</v>
      </c>
      <c r="G8" s="67">
        <v>1283</v>
      </c>
      <c r="H8" s="67">
        <v>222</v>
      </c>
      <c r="I8" s="391"/>
      <c r="J8" s="391"/>
    </row>
    <row r="9" spans="2:10" ht="12" x14ac:dyDescent="0.15">
      <c r="B9" s="385"/>
      <c r="C9" s="385"/>
      <c r="D9" s="385"/>
      <c r="E9" s="387"/>
      <c r="F9" s="66" t="s">
        <v>761</v>
      </c>
      <c r="G9" s="67">
        <v>33</v>
      </c>
      <c r="H9" s="67">
        <v>0</v>
      </c>
      <c r="I9" s="391"/>
      <c r="J9" s="391"/>
    </row>
    <row r="10" spans="2:10" ht="12" x14ac:dyDescent="0.15">
      <c r="B10" s="385"/>
      <c r="C10" s="385"/>
      <c r="D10" s="385" t="s">
        <v>762</v>
      </c>
      <c r="E10" s="387" t="s">
        <v>763</v>
      </c>
      <c r="F10" s="66" t="s">
        <v>758</v>
      </c>
      <c r="G10" s="67" t="s">
        <v>764</v>
      </c>
      <c r="H10" s="67" t="s">
        <v>764</v>
      </c>
      <c r="I10" s="391"/>
      <c r="J10" s="391"/>
    </row>
    <row r="11" spans="2:10" ht="12" x14ac:dyDescent="0.15">
      <c r="B11" s="385"/>
      <c r="C11" s="385"/>
      <c r="D11" s="385"/>
      <c r="E11" s="387"/>
      <c r="F11" s="66" t="s">
        <v>759</v>
      </c>
      <c r="G11" s="67" t="s">
        <v>764</v>
      </c>
      <c r="H11" s="67" t="s">
        <v>764</v>
      </c>
      <c r="I11" s="391"/>
      <c r="J11" s="391"/>
    </row>
    <row r="12" spans="2:10" ht="12" x14ac:dyDescent="0.15">
      <c r="B12" s="385"/>
      <c r="C12" s="385"/>
      <c r="D12" s="385"/>
      <c r="E12" s="387"/>
      <c r="F12" s="66" t="s">
        <v>760</v>
      </c>
      <c r="G12" s="67" t="s">
        <v>764</v>
      </c>
      <c r="H12" s="67" t="s">
        <v>764</v>
      </c>
      <c r="I12" s="391"/>
      <c r="J12" s="391"/>
    </row>
    <row r="13" spans="2:10" ht="12" x14ac:dyDescent="0.15">
      <c r="B13" s="385"/>
      <c r="C13" s="385"/>
      <c r="D13" s="385"/>
      <c r="E13" s="387"/>
      <c r="F13" s="66" t="s">
        <v>761</v>
      </c>
      <c r="G13" s="67" t="s">
        <v>764</v>
      </c>
      <c r="H13" s="67" t="s">
        <v>764</v>
      </c>
      <c r="I13" s="391"/>
      <c r="J13" s="391"/>
    </row>
    <row r="14" spans="2:10" ht="12" x14ac:dyDescent="0.15">
      <c r="B14" s="385"/>
      <c r="C14" s="385"/>
      <c r="D14" s="385" t="s">
        <v>765</v>
      </c>
      <c r="E14" s="387" t="s">
        <v>757</v>
      </c>
      <c r="F14" s="66" t="s">
        <v>766</v>
      </c>
      <c r="G14" s="67">
        <v>2</v>
      </c>
      <c r="H14" s="67">
        <v>0</v>
      </c>
      <c r="I14" s="391"/>
      <c r="J14" s="391"/>
    </row>
    <row r="15" spans="2:10" ht="12" x14ac:dyDescent="0.15">
      <c r="B15" s="385"/>
      <c r="C15" s="385"/>
      <c r="D15" s="385"/>
      <c r="E15" s="387"/>
      <c r="F15" s="66" t="s">
        <v>767</v>
      </c>
      <c r="G15" s="67">
        <v>1</v>
      </c>
      <c r="H15" s="67">
        <v>0</v>
      </c>
      <c r="I15" s="391"/>
      <c r="J15" s="391"/>
    </row>
    <row r="16" spans="2:10" ht="12" x14ac:dyDescent="0.15">
      <c r="B16" s="385"/>
      <c r="C16" s="385"/>
      <c r="D16" s="385"/>
      <c r="E16" s="387"/>
      <c r="F16" s="66" t="s">
        <v>768</v>
      </c>
      <c r="G16" s="67">
        <v>12</v>
      </c>
      <c r="H16" s="67">
        <v>5</v>
      </c>
      <c r="I16" s="391"/>
      <c r="J16" s="391"/>
    </row>
    <row r="17" spans="2:10" ht="12" x14ac:dyDescent="0.15">
      <c r="B17" s="385"/>
      <c r="C17" s="385"/>
      <c r="D17" s="385"/>
      <c r="E17" s="387"/>
      <c r="F17" s="66" t="s">
        <v>769</v>
      </c>
      <c r="G17" s="67">
        <v>18</v>
      </c>
      <c r="H17" s="67">
        <v>0</v>
      </c>
      <c r="I17" s="391"/>
      <c r="J17" s="391"/>
    </row>
    <row r="18" spans="2:10" ht="12" x14ac:dyDescent="0.15">
      <c r="B18" s="385"/>
      <c r="C18" s="385"/>
      <c r="D18" s="385" t="s">
        <v>765</v>
      </c>
      <c r="E18" s="387" t="s">
        <v>763</v>
      </c>
      <c r="F18" s="66" t="s">
        <v>766</v>
      </c>
      <c r="G18" s="67" t="s">
        <v>764</v>
      </c>
      <c r="H18" s="68" t="s">
        <v>764</v>
      </c>
      <c r="I18" s="391"/>
      <c r="J18" s="391"/>
    </row>
    <row r="19" spans="2:10" ht="12" x14ac:dyDescent="0.15">
      <c r="B19" s="385"/>
      <c r="C19" s="385"/>
      <c r="D19" s="385"/>
      <c r="E19" s="387"/>
      <c r="F19" s="66" t="s">
        <v>767</v>
      </c>
      <c r="G19" s="67" t="s">
        <v>764</v>
      </c>
      <c r="H19" s="67" t="s">
        <v>764</v>
      </c>
      <c r="I19" s="391"/>
      <c r="J19" s="391"/>
    </row>
    <row r="20" spans="2:10" ht="12" x14ac:dyDescent="0.15">
      <c r="B20" s="385"/>
      <c r="C20" s="385"/>
      <c r="D20" s="385"/>
      <c r="E20" s="387"/>
      <c r="F20" s="66" t="s">
        <v>768</v>
      </c>
      <c r="G20" s="67" t="s">
        <v>764</v>
      </c>
      <c r="H20" s="67" t="s">
        <v>764</v>
      </c>
      <c r="I20" s="391"/>
      <c r="J20" s="391"/>
    </row>
    <row r="21" spans="2:10" ht="12" x14ac:dyDescent="0.15">
      <c r="B21" s="385"/>
      <c r="C21" s="385"/>
      <c r="D21" s="385"/>
      <c r="E21" s="387"/>
      <c r="F21" s="66" t="s">
        <v>769</v>
      </c>
      <c r="G21" s="67" t="s">
        <v>764</v>
      </c>
      <c r="H21" s="67" t="s">
        <v>764</v>
      </c>
      <c r="I21" s="392"/>
      <c r="J21" s="392"/>
    </row>
    <row r="23" spans="2:10" ht="12" x14ac:dyDescent="0.15">
      <c r="B23" s="136" t="s">
        <v>32</v>
      </c>
    </row>
    <row r="24" spans="2:10" ht="12" x14ac:dyDescent="0.15">
      <c r="B24" s="385" t="s">
        <v>748</v>
      </c>
      <c r="C24" s="385"/>
      <c r="D24" s="386" t="s">
        <v>749</v>
      </c>
      <c r="E24" s="386" t="s">
        <v>750</v>
      </c>
      <c r="F24" s="386" t="s">
        <v>751</v>
      </c>
      <c r="G24" s="386" t="s">
        <v>752</v>
      </c>
      <c r="H24" s="386"/>
      <c r="I24" s="388" t="s">
        <v>753</v>
      </c>
      <c r="J24" s="389"/>
    </row>
    <row r="25" spans="2:10" ht="12" x14ac:dyDescent="0.15">
      <c r="B25" s="385"/>
      <c r="C25" s="385"/>
      <c r="D25" s="386"/>
      <c r="E25" s="386"/>
      <c r="F25" s="386"/>
      <c r="G25" s="65" t="s">
        <v>754</v>
      </c>
      <c r="H25" s="65" t="s">
        <v>755</v>
      </c>
      <c r="I25" s="65" t="s">
        <v>754</v>
      </c>
      <c r="J25" s="65" t="s">
        <v>755</v>
      </c>
    </row>
    <row r="26" spans="2:10" ht="12" x14ac:dyDescent="0.15">
      <c r="B26" s="385"/>
      <c r="C26" s="385"/>
      <c r="D26" s="385" t="s">
        <v>756</v>
      </c>
      <c r="E26" s="387" t="s">
        <v>757</v>
      </c>
      <c r="F26" s="394" t="s">
        <v>57</v>
      </c>
      <c r="G26" s="390">
        <v>2216</v>
      </c>
      <c r="H26" s="390">
        <v>19</v>
      </c>
      <c r="I26" s="390" t="s">
        <v>57</v>
      </c>
      <c r="J26" s="390" t="s">
        <v>57</v>
      </c>
    </row>
    <row r="27" spans="2:10" ht="12" x14ac:dyDescent="0.15">
      <c r="B27" s="385"/>
      <c r="C27" s="385"/>
      <c r="D27" s="385"/>
      <c r="E27" s="387"/>
      <c r="F27" s="395"/>
      <c r="G27" s="391"/>
      <c r="H27" s="391"/>
      <c r="I27" s="391"/>
      <c r="J27" s="391"/>
    </row>
    <row r="28" spans="2:10" ht="12" x14ac:dyDescent="0.15">
      <c r="B28" s="385"/>
      <c r="C28" s="385"/>
      <c r="D28" s="385"/>
      <c r="E28" s="387"/>
      <c r="F28" s="395"/>
      <c r="G28" s="391"/>
      <c r="H28" s="391"/>
      <c r="I28" s="391"/>
      <c r="J28" s="391"/>
    </row>
    <row r="29" spans="2:10" ht="12" x14ac:dyDescent="0.15">
      <c r="B29" s="385"/>
      <c r="C29" s="385"/>
      <c r="D29" s="385"/>
      <c r="E29" s="387"/>
      <c r="F29" s="396"/>
      <c r="G29" s="392"/>
      <c r="H29" s="392"/>
      <c r="I29" s="391"/>
      <c r="J29" s="391"/>
    </row>
    <row r="30" spans="2:10" ht="12" x14ac:dyDescent="0.15">
      <c r="B30" s="385"/>
      <c r="C30" s="385"/>
      <c r="D30" s="385" t="s">
        <v>762</v>
      </c>
      <c r="E30" s="387" t="s">
        <v>763</v>
      </c>
      <c r="F30" s="394" t="s">
        <v>57</v>
      </c>
      <c r="G30" s="393" t="s">
        <v>57</v>
      </c>
      <c r="H30" s="393" t="s">
        <v>57</v>
      </c>
      <c r="I30" s="391"/>
      <c r="J30" s="391"/>
    </row>
    <row r="31" spans="2:10" ht="12" x14ac:dyDescent="0.15">
      <c r="B31" s="385"/>
      <c r="C31" s="385"/>
      <c r="D31" s="385"/>
      <c r="E31" s="387"/>
      <c r="F31" s="395"/>
      <c r="G31" s="391"/>
      <c r="H31" s="391"/>
      <c r="I31" s="391"/>
      <c r="J31" s="391"/>
    </row>
    <row r="32" spans="2:10" ht="12" x14ac:dyDescent="0.15">
      <c r="B32" s="385"/>
      <c r="C32" s="385"/>
      <c r="D32" s="385"/>
      <c r="E32" s="387"/>
      <c r="F32" s="395"/>
      <c r="G32" s="391"/>
      <c r="H32" s="391"/>
      <c r="I32" s="391"/>
      <c r="J32" s="391"/>
    </row>
    <row r="33" spans="2:10" ht="12" x14ac:dyDescent="0.15">
      <c r="B33" s="385"/>
      <c r="C33" s="385"/>
      <c r="D33" s="385"/>
      <c r="E33" s="387"/>
      <c r="F33" s="396"/>
      <c r="G33" s="392"/>
      <c r="H33" s="392"/>
      <c r="I33" s="391"/>
      <c r="J33" s="391"/>
    </row>
    <row r="34" spans="2:10" ht="12" x14ac:dyDescent="0.15">
      <c r="B34" s="385"/>
      <c r="C34" s="385"/>
      <c r="D34" s="385" t="s">
        <v>765</v>
      </c>
      <c r="E34" s="387" t="s">
        <v>757</v>
      </c>
      <c r="F34" s="394" t="s">
        <v>57</v>
      </c>
      <c r="G34" s="393" t="s">
        <v>57</v>
      </c>
      <c r="H34" s="393" t="s">
        <v>57</v>
      </c>
      <c r="I34" s="391"/>
      <c r="J34" s="391"/>
    </row>
    <row r="35" spans="2:10" ht="12" x14ac:dyDescent="0.15">
      <c r="B35" s="385"/>
      <c r="C35" s="385"/>
      <c r="D35" s="385"/>
      <c r="E35" s="387"/>
      <c r="F35" s="395"/>
      <c r="G35" s="391"/>
      <c r="H35" s="391"/>
      <c r="I35" s="391"/>
      <c r="J35" s="391"/>
    </row>
    <row r="36" spans="2:10" ht="12" x14ac:dyDescent="0.15">
      <c r="B36" s="385"/>
      <c r="C36" s="385"/>
      <c r="D36" s="385"/>
      <c r="E36" s="387"/>
      <c r="F36" s="395"/>
      <c r="G36" s="391"/>
      <c r="H36" s="391"/>
      <c r="I36" s="391"/>
      <c r="J36" s="391"/>
    </row>
    <row r="37" spans="2:10" ht="12" x14ac:dyDescent="0.15">
      <c r="B37" s="385"/>
      <c r="C37" s="385"/>
      <c r="D37" s="385"/>
      <c r="E37" s="387"/>
      <c r="F37" s="396"/>
      <c r="G37" s="392"/>
      <c r="H37" s="392"/>
      <c r="I37" s="391"/>
      <c r="J37" s="391"/>
    </row>
    <row r="38" spans="2:10" ht="12" x14ac:dyDescent="0.15">
      <c r="B38" s="385"/>
      <c r="C38" s="385"/>
      <c r="D38" s="385" t="s">
        <v>765</v>
      </c>
      <c r="E38" s="387" t="s">
        <v>763</v>
      </c>
      <c r="F38" s="394" t="s">
        <v>57</v>
      </c>
      <c r="G38" s="393" t="s">
        <v>57</v>
      </c>
      <c r="H38" s="393" t="s">
        <v>57</v>
      </c>
      <c r="I38" s="391"/>
      <c r="J38" s="391"/>
    </row>
    <row r="39" spans="2:10" ht="12" x14ac:dyDescent="0.15">
      <c r="B39" s="385"/>
      <c r="C39" s="385"/>
      <c r="D39" s="385"/>
      <c r="E39" s="387"/>
      <c r="F39" s="395"/>
      <c r="G39" s="391"/>
      <c r="H39" s="391"/>
      <c r="I39" s="391"/>
      <c r="J39" s="391"/>
    </row>
    <row r="40" spans="2:10" ht="12" x14ac:dyDescent="0.15">
      <c r="B40" s="385"/>
      <c r="C40" s="385"/>
      <c r="D40" s="385"/>
      <c r="E40" s="387"/>
      <c r="F40" s="395"/>
      <c r="G40" s="391"/>
      <c r="H40" s="391"/>
      <c r="I40" s="391"/>
      <c r="J40" s="391"/>
    </row>
    <row r="41" spans="2:10" ht="12" x14ac:dyDescent="0.15">
      <c r="B41" s="385"/>
      <c r="C41" s="385"/>
      <c r="D41" s="385"/>
      <c r="E41" s="387"/>
      <c r="F41" s="397"/>
      <c r="G41" s="392"/>
      <c r="H41" s="392"/>
      <c r="I41" s="392"/>
      <c r="J41" s="392"/>
    </row>
    <row r="43" spans="2:10" ht="12" x14ac:dyDescent="0.15">
      <c r="B43" s="136" t="s">
        <v>36</v>
      </c>
    </row>
    <row r="44" spans="2:10" ht="12" x14ac:dyDescent="0.15">
      <c r="B44" s="385" t="s">
        <v>748</v>
      </c>
      <c r="C44" s="385"/>
      <c r="D44" s="386" t="s">
        <v>749</v>
      </c>
      <c r="E44" s="386" t="s">
        <v>750</v>
      </c>
      <c r="F44" s="386" t="s">
        <v>751</v>
      </c>
      <c r="G44" s="386" t="s">
        <v>752</v>
      </c>
      <c r="H44" s="386"/>
      <c r="I44" s="388" t="s">
        <v>753</v>
      </c>
      <c r="J44" s="389"/>
    </row>
    <row r="45" spans="2:10" ht="12" x14ac:dyDescent="0.15">
      <c r="B45" s="385"/>
      <c r="C45" s="385"/>
      <c r="D45" s="386"/>
      <c r="E45" s="386"/>
      <c r="F45" s="386"/>
      <c r="G45" s="65" t="s">
        <v>754</v>
      </c>
      <c r="H45" s="65" t="s">
        <v>755</v>
      </c>
      <c r="I45" s="65" t="s">
        <v>754</v>
      </c>
      <c r="J45" s="65" t="s">
        <v>755</v>
      </c>
    </row>
    <row r="46" spans="2:10" ht="12" x14ac:dyDescent="0.15">
      <c r="B46" s="385"/>
      <c r="C46" s="385"/>
      <c r="D46" s="385" t="s">
        <v>756</v>
      </c>
      <c r="E46" s="387" t="s">
        <v>757</v>
      </c>
      <c r="F46" s="66" t="s">
        <v>758</v>
      </c>
      <c r="G46" s="67" t="s">
        <v>57</v>
      </c>
      <c r="H46" s="67" t="s">
        <v>57</v>
      </c>
      <c r="I46" s="390" t="s">
        <v>57</v>
      </c>
      <c r="J46" s="390" t="s">
        <v>57</v>
      </c>
    </row>
    <row r="47" spans="2:10" ht="12" x14ac:dyDescent="0.15">
      <c r="B47" s="385"/>
      <c r="C47" s="385"/>
      <c r="D47" s="385"/>
      <c r="E47" s="387"/>
      <c r="F47" s="66" t="s">
        <v>759</v>
      </c>
      <c r="G47" s="67" t="s">
        <v>57</v>
      </c>
      <c r="H47" s="67" t="s">
        <v>57</v>
      </c>
      <c r="I47" s="391"/>
      <c r="J47" s="391"/>
    </row>
    <row r="48" spans="2:10" ht="12" x14ac:dyDescent="0.15">
      <c r="B48" s="385"/>
      <c r="C48" s="385"/>
      <c r="D48" s="385"/>
      <c r="E48" s="387"/>
      <c r="F48" s="66" t="s">
        <v>760</v>
      </c>
      <c r="G48" s="67" t="s">
        <v>57</v>
      </c>
      <c r="H48" s="67" t="s">
        <v>57</v>
      </c>
      <c r="I48" s="391"/>
      <c r="J48" s="391"/>
    </row>
    <row r="49" spans="2:10" ht="12" x14ac:dyDescent="0.15">
      <c r="B49" s="385"/>
      <c r="C49" s="385"/>
      <c r="D49" s="385"/>
      <c r="E49" s="387"/>
      <c r="F49" s="66" t="s">
        <v>761</v>
      </c>
      <c r="G49" s="67" t="s">
        <v>57</v>
      </c>
      <c r="H49" s="67" t="s">
        <v>57</v>
      </c>
      <c r="I49" s="391"/>
      <c r="J49" s="391"/>
    </row>
    <row r="50" spans="2:10" ht="12" x14ac:dyDescent="0.15">
      <c r="B50" s="385"/>
      <c r="C50" s="385"/>
      <c r="D50" s="385" t="s">
        <v>762</v>
      </c>
      <c r="E50" s="387" t="s">
        <v>763</v>
      </c>
      <c r="F50" s="66" t="s">
        <v>758</v>
      </c>
      <c r="G50" s="67" t="s">
        <v>57</v>
      </c>
      <c r="H50" s="67" t="s">
        <v>57</v>
      </c>
      <c r="I50" s="391"/>
      <c r="J50" s="391"/>
    </row>
    <row r="51" spans="2:10" ht="12" x14ac:dyDescent="0.15">
      <c r="B51" s="385"/>
      <c r="C51" s="385"/>
      <c r="D51" s="385"/>
      <c r="E51" s="387"/>
      <c r="F51" s="66" t="s">
        <v>759</v>
      </c>
      <c r="G51" s="67" t="s">
        <v>57</v>
      </c>
      <c r="H51" s="67" t="s">
        <v>57</v>
      </c>
      <c r="I51" s="391"/>
      <c r="J51" s="391"/>
    </row>
    <row r="52" spans="2:10" ht="12" x14ac:dyDescent="0.15">
      <c r="B52" s="385"/>
      <c r="C52" s="385"/>
      <c r="D52" s="385"/>
      <c r="E52" s="387"/>
      <c r="F52" s="66" t="s">
        <v>760</v>
      </c>
      <c r="G52" s="67" t="s">
        <v>57</v>
      </c>
      <c r="H52" s="67" t="s">
        <v>57</v>
      </c>
      <c r="I52" s="391"/>
      <c r="J52" s="391"/>
    </row>
    <row r="53" spans="2:10" ht="12" x14ac:dyDescent="0.15">
      <c r="B53" s="385"/>
      <c r="C53" s="385"/>
      <c r="D53" s="385"/>
      <c r="E53" s="387"/>
      <c r="F53" s="66" t="s">
        <v>761</v>
      </c>
      <c r="G53" s="67" t="s">
        <v>57</v>
      </c>
      <c r="H53" s="67" t="s">
        <v>57</v>
      </c>
      <c r="I53" s="391"/>
      <c r="J53" s="391"/>
    </row>
    <row r="54" spans="2:10" ht="12" x14ac:dyDescent="0.15">
      <c r="B54" s="385"/>
      <c r="C54" s="385"/>
      <c r="D54" s="385" t="s">
        <v>765</v>
      </c>
      <c r="E54" s="387" t="s">
        <v>757</v>
      </c>
      <c r="F54" s="66" t="s">
        <v>766</v>
      </c>
      <c r="G54" s="67" t="s">
        <v>57</v>
      </c>
      <c r="H54" s="67" t="s">
        <v>57</v>
      </c>
      <c r="I54" s="391"/>
      <c r="J54" s="391"/>
    </row>
    <row r="55" spans="2:10" ht="12" x14ac:dyDescent="0.15">
      <c r="B55" s="385"/>
      <c r="C55" s="385"/>
      <c r="D55" s="385"/>
      <c r="E55" s="387"/>
      <c r="F55" s="66" t="s">
        <v>767</v>
      </c>
      <c r="G55" s="67" t="s">
        <v>57</v>
      </c>
      <c r="H55" s="67" t="s">
        <v>57</v>
      </c>
      <c r="I55" s="391"/>
      <c r="J55" s="391"/>
    </row>
    <row r="56" spans="2:10" ht="12" x14ac:dyDescent="0.15">
      <c r="B56" s="385"/>
      <c r="C56" s="385"/>
      <c r="D56" s="385"/>
      <c r="E56" s="387"/>
      <c r="F56" s="66" t="s">
        <v>768</v>
      </c>
      <c r="G56" s="67" t="s">
        <v>57</v>
      </c>
      <c r="H56" s="67" t="s">
        <v>57</v>
      </c>
      <c r="I56" s="391"/>
      <c r="J56" s="391"/>
    </row>
    <row r="57" spans="2:10" ht="12" x14ac:dyDescent="0.15">
      <c r="B57" s="385"/>
      <c r="C57" s="385"/>
      <c r="D57" s="385"/>
      <c r="E57" s="387"/>
      <c r="F57" s="66" t="s">
        <v>769</v>
      </c>
      <c r="G57" s="67" t="s">
        <v>57</v>
      </c>
      <c r="H57" s="67" t="s">
        <v>57</v>
      </c>
      <c r="I57" s="391"/>
      <c r="J57" s="391"/>
    </row>
    <row r="58" spans="2:10" ht="12" x14ac:dyDescent="0.15">
      <c r="B58" s="385"/>
      <c r="C58" s="385"/>
      <c r="D58" s="385" t="s">
        <v>765</v>
      </c>
      <c r="E58" s="387" t="s">
        <v>763</v>
      </c>
      <c r="F58" s="66" t="s">
        <v>766</v>
      </c>
      <c r="G58" s="67" t="s">
        <v>57</v>
      </c>
      <c r="H58" s="67" t="s">
        <v>57</v>
      </c>
      <c r="I58" s="391"/>
      <c r="J58" s="391"/>
    </row>
    <row r="59" spans="2:10" ht="12" x14ac:dyDescent="0.15">
      <c r="B59" s="385"/>
      <c r="C59" s="385"/>
      <c r="D59" s="385"/>
      <c r="E59" s="387"/>
      <c r="F59" s="66" t="s">
        <v>767</v>
      </c>
      <c r="G59" s="67" t="s">
        <v>57</v>
      </c>
      <c r="H59" s="67" t="s">
        <v>57</v>
      </c>
      <c r="I59" s="391"/>
      <c r="J59" s="391"/>
    </row>
    <row r="60" spans="2:10" ht="12" x14ac:dyDescent="0.15">
      <c r="B60" s="385"/>
      <c r="C60" s="385"/>
      <c r="D60" s="385"/>
      <c r="E60" s="387"/>
      <c r="F60" s="66" t="s">
        <v>768</v>
      </c>
      <c r="G60" s="67" t="s">
        <v>57</v>
      </c>
      <c r="H60" s="67" t="s">
        <v>57</v>
      </c>
      <c r="I60" s="391"/>
      <c r="J60" s="391"/>
    </row>
    <row r="61" spans="2:10" ht="12" x14ac:dyDescent="0.15">
      <c r="B61" s="385"/>
      <c r="C61" s="385"/>
      <c r="D61" s="385"/>
      <c r="E61" s="387"/>
      <c r="F61" s="66" t="s">
        <v>769</v>
      </c>
      <c r="G61" s="67" t="s">
        <v>57</v>
      </c>
      <c r="H61" s="67" t="s">
        <v>57</v>
      </c>
      <c r="I61" s="392"/>
      <c r="J61" s="392"/>
    </row>
    <row r="63" spans="2:10" ht="12" x14ac:dyDescent="0.15">
      <c r="B63" s="136" t="s">
        <v>44</v>
      </c>
    </row>
    <row r="64" spans="2:10" ht="12" x14ac:dyDescent="0.15">
      <c r="B64" s="385" t="s">
        <v>748</v>
      </c>
      <c r="C64" s="385"/>
      <c r="D64" s="386" t="s">
        <v>749</v>
      </c>
      <c r="E64" s="386" t="s">
        <v>750</v>
      </c>
      <c r="F64" s="386" t="s">
        <v>751</v>
      </c>
      <c r="G64" s="386" t="s">
        <v>752</v>
      </c>
      <c r="H64" s="386"/>
      <c r="I64" s="388" t="s">
        <v>753</v>
      </c>
      <c r="J64" s="389"/>
    </row>
    <row r="65" spans="2:10" ht="12" x14ac:dyDescent="0.15">
      <c r="B65" s="385"/>
      <c r="C65" s="385"/>
      <c r="D65" s="386"/>
      <c r="E65" s="386"/>
      <c r="F65" s="386"/>
      <c r="G65" s="65" t="s">
        <v>754</v>
      </c>
      <c r="H65" s="65" t="s">
        <v>755</v>
      </c>
      <c r="I65" s="65" t="s">
        <v>754</v>
      </c>
      <c r="J65" s="65" t="s">
        <v>755</v>
      </c>
    </row>
    <row r="66" spans="2:10" ht="12" x14ac:dyDescent="0.15">
      <c r="B66" s="385"/>
      <c r="C66" s="385"/>
      <c r="D66" s="385" t="s">
        <v>756</v>
      </c>
      <c r="E66" s="387" t="s">
        <v>757</v>
      </c>
      <c r="F66" s="394" t="s">
        <v>57</v>
      </c>
      <c r="G66" s="390">
        <v>193</v>
      </c>
      <c r="H66" s="393" t="s">
        <v>770</v>
      </c>
      <c r="I66" s="390" t="s">
        <v>771</v>
      </c>
      <c r="J66" s="390"/>
    </row>
    <row r="67" spans="2:10" ht="12" x14ac:dyDescent="0.15">
      <c r="B67" s="385"/>
      <c r="C67" s="385"/>
      <c r="D67" s="385"/>
      <c r="E67" s="387"/>
      <c r="F67" s="395"/>
      <c r="G67" s="391"/>
      <c r="H67" s="391"/>
      <c r="I67" s="391"/>
      <c r="J67" s="391"/>
    </row>
    <row r="68" spans="2:10" ht="12" x14ac:dyDescent="0.15">
      <c r="B68" s="385"/>
      <c r="C68" s="385"/>
      <c r="D68" s="385"/>
      <c r="E68" s="387"/>
      <c r="F68" s="395"/>
      <c r="G68" s="391"/>
      <c r="H68" s="391"/>
      <c r="I68" s="391"/>
      <c r="J68" s="391"/>
    </row>
    <row r="69" spans="2:10" ht="12" x14ac:dyDescent="0.15">
      <c r="B69" s="385"/>
      <c r="C69" s="385"/>
      <c r="D69" s="385"/>
      <c r="E69" s="387"/>
      <c r="F69" s="396"/>
      <c r="G69" s="392"/>
      <c r="H69" s="392"/>
      <c r="I69" s="391"/>
      <c r="J69" s="391"/>
    </row>
    <row r="70" spans="2:10" ht="12" x14ac:dyDescent="0.15">
      <c r="B70" s="385"/>
      <c r="C70" s="385"/>
      <c r="D70" s="385" t="s">
        <v>762</v>
      </c>
      <c r="E70" s="387" t="s">
        <v>763</v>
      </c>
      <c r="F70" s="394" t="s">
        <v>57</v>
      </c>
      <c r="G70" s="393" t="s">
        <v>57</v>
      </c>
      <c r="H70" s="393" t="s">
        <v>770</v>
      </c>
      <c r="I70" s="391"/>
      <c r="J70" s="391"/>
    </row>
    <row r="71" spans="2:10" ht="12" x14ac:dyDescent="0.15">
      <c r="B71" s="385"/>
      <c r="C71" s="385"/>
      <c r="D71" s="385"/>
      <c r="E71" s="387"/>
      <c r="F71" s="395"/>
      <c r="G71" s="391"/>
      <c r="H71" s="391"/>
      <c r="I71" s="391"/>
      <c r="J71" s="391"/>
    </row>
    <row r="72" spans="2:10" ht="12" x14ac:dyDescent="0.15">
      <c r="B72" s="385"/>
      <c r="C72" s="385"/>
      <c r="D72" s="385"/>
      <c r="E72" s="387"/>
      <c r="F72" s="395"/>
      <c r="G72" s="391"/>
      <c r="H72" s="391"/>
      <c r="I72" s="391"/>
      <c r="J72" s="391"/>
    </row>
    <row r="73" spans="2:10" ht="12" x14ac:dyDescent="0.15">
      <c r="B73" s="385"/>
      <c r="C73" s="385"/>
      <c r="D73" s="385"/>
      <c r="E73" s="387"/>
      <c r="F73" s="396"/>
      <c r="G73" s="392"/>
      <c r="H73" s="392"/>
      <c r="I73" s="391"/>
      <c r="J73" s="391"/>
    </row>
    <row r="74" spans="2:10" ht="12" x14ac:dyDescent="0.15">
      <c r="B74" s="385"/>
      <c r="C74" s="385"/>
      <c r="D74" s="385" t="s">
        <v>765</v>
      </c>
      <c r="E74" s="387" t="s">
        <v>757</v>
      </c>
      <c r="F74" s="394" t="s">
        <v>57</v>
      </c>
      <c r="G74" s="393">
        <v>14</v>
      </c>
      <c r="H74" s="393" t="s">
        <v>770</v>
      </c>
      <c r="I74" s="391"/>
      <c r="J74" s="391"/>
    </row>
    <row r="75" spans="2:10" ht="12" x14ac:dyDescent="0.15">
      <c r="B75" s="385"/>
      <c r="C75" s="385"/>
      <c r="D75" s="385"/>
      <c r="E75" s="387"/>
      <c r="F75" s="395"/>
      <c r="G75" s="391"/>
      <c r="H75" s="391"/>
      <c r="I75" s="391"/>
      <c r="J75" s="391"/>
    </row>
    <row r="76" spans="2:10" ht="12" x14ac:dyDescent="0.15">
      <c r="B76" s="385"/>
      <c r="C76" s="385"/>
      <c r="D76" s="385"/>
      <c r="E76" s="387"/>
      <c r="F76" s="395"/>
      <c r="G76" s="391"/>
      <c r="H76" s="391"/>
      <c r="I76" s="391"/>
      <c r="J76" s="391"/>
    </row>
    <row r="77" spans="2:10" ht="12" x14ac:dyDescent="0.15">
      <c r="B77" s="385"/>
      <c r="C77" s="385"/>
      <c r="D77" s="385"/>
      <c r="E77" s="387"/>
      <c r="F77" s="396"/>
      <c r="G77" s="392"/>
      <c r="H77" s="392"/>
      <c r="I77" s="391"/>
      <c r="J77" s="391"/>
    </row>
    <row r="78" spans="2:10" ht="12" x14ac:dyDescent="0.15">
      <c r="B78" s="385"/>
      <c r="C78" s="385"/>
      <c r="D78" s="385" t="s">
        <v>765</v>
      </c>
      <c r="E78" s="387" t="s">
        <v>763</v>
      </c>
      <c r="F78" s="394" t="s">
        <v>57</v>
      </c>
      <c r="G78" s="393" t="s">
        <v>57</v>
      </c>
      <c r="H78" s="393" t="s">
        <v>770</v>
      </c>
      <c r="I78" s="391"/>
      <c r="J78" s="391"/>
    </row>
    <row r="79" spans="2:10" ht="12" x14ac:dyDescent="0.15">
      <c r="B79" s="385"/>
      <c r="C79" s="385"/>
      <c r="D79" s="385"/>
      <c r="E79" s="387"/>
      <c r="F79" s="395"/>
      <c r="G79" s="391"/>
      <c r="H79" s="391"/>
      <c r="I79" s="391"/>
      <c r="J79" s="391"/>
    </row>
    <row r="80" spans="2:10" ht="12" x14ac:dyDescent="0.15">
      <c r="B80" s="385"/>
      <c r="C80" s="385"/>
      <c r="D80" s="385"/>
      <c r="E80" s="387"/>
      <c r="F80" s="395"/>
      <c r="G80" s="391"/>
      <c r="H80" s="391"/>
      <c r="I80" s="391"/>
      <c r="J80" s="391"/>
    </row>
    <row r="81" spans="2:10" ht="12" x14ac:dyDescent="0.15">
      <c r="B81" s="385"/>
      <c r="C81" s="385"/>
      <c r="D81" s="385"/>
      <c r="E81" s="387"/>
      <c r="F81" s="397"/>
      <c r="G81" s="392"/>
      <c r="H81" s="392"/>
      <c r="I81" s="392"/>
      <c r="J81" s="392"/>
    </row>
    <row r="83" spans="2:10" ht="12" x14ac:dyDescent="0.15">
      <c r="B83" s="137" t="s">
        <v>40</v>
      </c>
    </row>
    <row r="84" spans="2:10" ht="12" x14ac:dyDescent="0.15">
      <c r="B84" s="385" t="s">
        <v>748</v>
      </c>
      <c r="C84" s="385"/>
      <c r="D84" s="386" t="s">
        <v>749</v>
      </c>
      <c r="E84" s="386" t="s">
        <v>750</v>
      </c>
      <c r="F84" s="386" t="s">
        <v>751</v>
      </c>
      <c r="G84" s="386" t="s">
        <v>752</v>
      </c>
      <c r="H84" s="386"/>
      <c r="I84" s="404" t="s">
        <v>753</v>
      </c>
      <c r="J84" s="404"/>
    </row>
    <row r="85" spans="2:10" ht="12" x14ac:dyDescent="0.15">
      <c r="B85" s="385"/>
      <c r="C85" s="385"/>
      <c r="D85" s="386"/>
      <c r="E85" s="386"/>
      <c r="F85" s="386"/>
      <c r="G85" s="65" t="s">
        <v>754</v>
      </c>
      <c r="H85" s="65" t="s">
        <v>755</v>
      </c>
      <c r="I85" s="405"/>
      <c r="J85" s="405"/>
    </row>
    <row r="86" spans="2:10" ht="12" x14ac:dyDescent="0.15">
      <c r="B86" s="385"/>
      <c r="C86" s="385"/>
      <c r="D86" s="385" t="s">
        <v>756</v>
      </c>
      <c r="E86" s="387" t="s">
        <v>757</v>
      </c>
      <c r="F86" s="394" t="s">
        <v>57</v>
      </c>
      <c r="G86" s="390">
        <v>18</v>
      </c>
      <c r="H86" s="390">
        <v>2</v>
      </c>
      <c r="I86" s="398">
        <v>7.0026999999999999</v>
      </c>
      <c r="J86" s="399"/>
    </row>
    <row r="87" spans="2:10" ht="12" x14ac:dyDescent="0.15">
      <c r="B87" s="385"/>
      <c r="C87" s="385"/>
      <c r="D87" s="385"/>
      <c r="E87" s="387"/>
      <c r="F87" s="395"/>
      <c r="G87" s="391"/>
      <c r="H87" s="391"/>
      <c r="I87" s="400"/>
      <c r="J87" s="401"/>
    </row>
    <row r="88" spans="2:10" ht="12" x14ac:dyDescent="0.15">
      <c r="B88" s="385"/>
      <c r="C88" s="385"/>
      <c r="D88" s="385"/>
      <c r="E88" s="387"/>
      <c r="F88" s="395"/>
      <c r="G88" s="391"/>
      <c r="H88" s="391"/>
      <c r="I88" s="400"/>
      <c r="J88" s="401"/>
    </row>
    <row r="89" spans="2:10" ht="12" x14ac:dyDescent="0.15">
      <c r="B89" s="385"/>
      <c r="C89" s="385"/>
      <c r="D89" s="385"/>
      <c r="E89" s="387"/>
      <c r="F89" s="396"/>
      <c r="G89" s="392"/>
      <c r="H89" s="392"/>
      <c r="I89" s="400"/>
      <c r="J89" s="401"/>
    </row>
    <row r="90" spans="2:10" ht="12" x14ac:dyDescent="0.15">
      <c r="B90" s="385"/>
      <c r="C90" s="385"/>
      <c r="D90" s="385" t="s">
        <v>762</v>
      </c>
      <c r="E90" s="387" t="s">
        <v>763</v>
      </c>
      <c r="F90" s="394" t="s">
        <v>57</v>
      </c>
      <c r="G90" s="393">
        <v>1</v>
      </c>
      <c r="H90" s="393" t="s">
        <v>770</v>
      </c>
      <c r="I90" s="400"/>
      <c r="J90" s="401"/>
    </row>
    <row r="91" spans="2:10" ht="12" x14ac:dyDescent="0.15">
      <c r="B91" s="385"/>
      <c r="C91" s="385"/>
      <c r="D91" s="385"/>
      <c r="E91" s="387"/>
      <c r="F91" s="395"/>
      <c r="G91" s="391"/>
      <c r="H91" s="391"/>
      <c r="I91" s="400"/>
      <c r="J91" s="401"/>
    </row>
    <row r="92" spans="2:10" ht="12" x14ac:dyDescent="0.15">
      <c r="B92" s="385"/>
      <c r="C92" s="385"/>
      <c r="D92" s="385"/>
      <c r="E92" s="387"/>
      <c r="F92" s="395"/>
      <c r="G92" s="391"/>
      <c r="H92" s="391"/>
      <c r="I92" s="400"/>
      <c r="J92" s="401"/>
    </row>
    <row r="93" spans="2:10" ht="12" x14ac:dyDescent="0.15">
      <c r="B93" s="385"/>
      <c r="C93" s="385"/>
      <c r="D93" s="385"/>
      <c r="E93" s="387"/>
      <c r="F93" s="396"/>
      <c r="G93" s="392"/>
      <c r="H93" s="392"/>
      <c r="I93" s="400"/>
      <c r="J93" s="401"/>
    </row>
    <row r="94" spans="2:10" ht="12" x14ac:dyDescent="0.15">
      <c r="B94" s="385"/>
      <c r="C94" s="385"/>
      <c r="D94" s="385" t="s">
        <v>765</v>
      </c>
      <c r="E94" s="387" t="s">
        <v>757</v>
      </c>
      <c r="F94" s="394" t="s">
        <v>57</v>
      </c>
      <c r="G94" s="393">
        <v>5</v>
      </c>
      <c r="H94" s="393" t="s">
        <v>770</v>
      </c>
      <c r="I94" s="400"/>
      <c r="J94" s="401"/>
    </row>
    <row r="95" spans="2:10" ht="12" x14ac:dyDescent="0.15">
      <c r="B95" s="385"/>
      <c r="C95" s="385"/>
      <c r="D95" s="385"/>
      <c r="E95" s="387"/>
      <c r="F95" s="395"/>
      <c r="G95" s="391"/>
      <c r="H95" s="391"/>
      <c r="I95" s="400"/>
      <c r="J95" s="401"/>
    </row>
    <row r="96" spans="2:10" ht="12" x14ac:dyDescent="0.15">
      <c r="B96" s="385"/>
      <c r="C96" s="385"/>
      <c r="D96" s="385"/>
      <c r="E96" s="387"/>
      <c r="F96" s="395"/>
      <c r="G96" s="391"/>
      <c r="H96" s="391"/>
      <c r="I96" s="400"/>
      <c r="J96" s="401"/>
    </row>
    <row r="97" spans="2:10" ht="12" x14ac:dyDescent="0.15">
      <c r="B97" s="385"/>
      <c r="C97" s="385"/>
      <c r="D97" s="385"/>
      <c r="E97" s="387"/>
      <c r="F97" s="396"/>
      <c r="G97" s="392"/>
      <c r="H97" s="392"/>
      <c r="I97" s="400"/>
      <c r="J97" s="401"/>
    </row>
    <row r="98" spans="2:10" ht="12" x14ac:dyDescent="0.15">
      <c r="B98" s="385"/>
      <c r="C98" s="385"/>
      <c r="D98" s="385" t="s">
        <v>765</v>
      </c>
      <c r="E98" s="387" t="s">
        <v>763</v>
      </c>
      <c r="F98" s="394" t="s">
        <v>57</v>
      </c>
      <c r="G98" s="393" t="s">
        <v>770</v>
      </c>
      <c r="H98" s="393" t="s">
        <v>770</v>
      </c>
      <c r="I98" s="400"/>
      <c r="J98" s="401"/>
    </row>
    <row r="99" spans="2:10" ht="12" x14ac:dyDescent="0.15">
      <c r="B99" s="385"/>
      <c r="C99" s="385"/>
      <c r="D99" s="385"/>
      <c r="E99" s="387"/>
      <c r="F99" s="395"/>
      <c r="G99" s="391"/>
      <c r="H99" s="391"/>
      <c r="I99" s="400"/>
      <c r="J99" s="401"/>
    </row>
    <row r="100" spans="2:10" ht="12" x14ac:dyDescent="0.15">
      <c r="B100" s="385"/>
      <c r="C100" s="385"/>
      <c r="D100" s="385"/>
      <c r="E100" s="387"/>
      <c r="F100" s="395"/>
      <c r="G100" s="391"/>
      <c r="H100" s="391"/>
      <c r="I100" s="400"/>
      <c r="J100" s="401"/>
    </row>
    <row r="101" spans="2:10" ht="12" x14ac:dyDescent="0.15">
      <c r="B101" s="385"/>
      <c r="C101" s="385"/>
      <c r="D101" s="385"/>
      <c r="E101" s="387"/>
      <c r="F101" s="397"/>
      <c r="G101" s="392"/>
      <c r="H101" s="392"/>
      <c r="I101" s="402"/>
      <c r="J101" s="403"/>
    </row>
    <row r="103" spans="2:10" ht="12" x14ac:dyDescent="0.15">
      <c r="B103" s="138" t="s">
        <v>724</v>
      </c>
    </row>
    <row r="104" spans="2:10" ht="12" x14ac:dyDescent="0.15">
      <c r="B104" s="385" t="s">
        <v>748</v>
      </c>
      <c r="C104" s="385"/>
      <c r="D104" s="386" t="s">
        <v>749</v>
      </c>
      <c r="E104" s="386" t="s">
        <v>750</v>
      </c>
      <c r="F104" s="386" t="s">
        <v>751</v>
      </c>
      <c r="G104" s="386" t="s">
        <v>752</v>
      </c>
      <c r="H104" s="386"/>
      <c r="I104" s="388" t="s">
        <v>753</v>
      </c>
      <c r="J104" s="389"/>
    </row>
    <row r="105" spans="2:10" ht="12" x14ac:dyDescent="0.15">
      <c r="B105" s="385"/>
      <c r="C105" s="385"/>
      <c r="D105" s="386"/>
      <c r="E105" s="386"/>
      <c r="F105" s="386"/>
      <c r="G105" s="65" t="s">
        <v>754</v>
      </c>
      <c r="H105" s="65" t="s">
        <v>755</v>
      </c>
      <c r="I105" s="65" t="s">
        <v>754</v>
      </c>
      <c r="J105" s="65" t="s">
        <v>755</v>
      </c>
    </row>
    <row r="106" spans="2:10" ht="12" x14ac:dyDescent="0.15">
      <c r="B106" s="385"/>
      <c r="C106" s="385"/>
      <c r="D106" s="385" t="s">
        <v>756</v>
      </c>
      <c r="E106" s="387" t="s">
        <v>757</v>
      </c>
      <c r="F106" s="66" t="s">
        <v>758</v>
      </c>
      <c r="G106" s="67" t="s">
        <v>57</v>
      </c>
      <c r="H106" s="67" t="s">
        <v>57</v>
      </c>
      <c r="I106" s="390" t="s">
        <v>57</v>
      </c>
      <c r="J106" s="390" t="s">
        <v>57</v>
      </c>
    </row>
    <row r="107" spans="2:10" ht="12" x14ac:dyDescent="0.15">
      <c r="B107" s="385"/>
      <c r="C107" s="385"/>
      <c r="D107" s="385"/>
      <c r="E107" s="387"/>
      <c r="F107" s="66" t="s">
        <v>759</v>
      </c>
      <c r="G107" s="67" t="s">
        <v>57</v>
      </c>
      <c r="H107" s="67" t="s">
        <v>57</v>
      </c>
      <c r="I107" s="391"/>
      <c r="J107" s="391"/>
    </row>
    <row r="108" spans="2:10" ht="12" x14ac:dyDescent="0.15">
      <c r="B108" s="385"/>
      <c r="C108" s="385"/>
      <c r="D108" s="385"/>
      <c r="E108" s="387"/>
      <c r="F108" s="66" t="s">
        <v>760</v>
      </c>
      <c r="G108" s="67" t="s">
        <v>57</v>
      </c>
      <c r="H108" s="67" t="s">
        <v>57</v>
      </c>
      <c r="I108" s="391"/>
      <c r="J108" s="391"/>
    </row>
    <row r="109" spans="2:10" ht="12" x14ac:dyDescent="0.15">
      <c r="B109" s="385"/>
      <c r="C109" s="385"/>
      <c r="D109" s="385"/>
      <c r="E109" s="387"/>
      <c r="F109" s="66" t="s">
        <v>761</v>
      </c>
      <c r="G109" s="67" t="s">
        <v>57</v>
      </c>
      <c r="H109" s="67" t="s">
        <v>57</v>
      </c>
      <c r="I109" s="391"/>
      <c r="J109" s="391"/>
    </row>
    <row r="110" spans="2:10" ht="12" x14ac:dyDescent="0.15">
      <c r="B110" s="385"/>
      <c r="C110" s="385"/>
      <c r="D110" s="385" t="s">
        <v>762</v>
      </c>
      <c r="E110" s="387" t="s">
        <v>763</v>
      </c>
      <c r="F110" s="66" t="s">
        <v>758</v>
      </c>
      <c r="G110" s="67" t="s">
        <v>57</v>
      </c>
      <c r="H110" s="67" t="s">
        <v>57</v>
      </c>
      <c r="I110" s="391"/>
      <c r="J110" s="391"/>
    </row>
    <row r="111" spans="2:10" ht="12" x14ac:dyDescent="0.15">
      <c r="B111" s="385"/>
      <c r="C111" s="385"/>
      <c r="D111" s="385"/>
      <c r="E111" s="387"/>
      <c r="F111" s="66" t="s">
        <v>759</v>
      </c>
      <c r="G111" s="67" t="s">
        <v>57</v>
      </c>
      <c r="H111" s="67" t="s">
        <v>57</v>
      </c>
      <c r="I111" s="391"/>
      <c r="J111" s="391"/>
    </row>
    <row r="112" spans="2:10" ht="12" x14ac:dyDescent="0.15">
      <c r="B112" s="385"/>
      <c r="C112" s="385"/>
      <c r="D112" s="385"/>
      <c r="E112" s="387"/>
      <c r="F112" s="66" t="s">
        <v>760</v>
      </c>
      <c r="G112" s="67" t="s">
        <v>57</v>
      </c>
      <c r="H112" s="67" t="s">
        <v>57</v>
      </c>
      <c r="I112" s="391"/>
      <c r="J112" s="391"/>
    </row>
    <row r="113" spans="2:10" ht="12" x14ac:dyDescent="0.15">
      <c r="B113" s="385"/>
      <c r="C113" s="385"/>
      <c r="D113" s="385"/>
      <c r="E113" s="387"/>
      <c r="F113" s="66" t="s">
        <v>761</v>
      </c>
      <c r="G113" s="67" t="s">
        <v>57</v>
      </c>
      <c r="H113" s="67" t="s">
        <v>57</v>
      </c>
      <c r="I113" s="391"/>
      <c r="J113" s="391"/>
    </row>
    <row r="114" spans="2:10" ht="12" x14ac:dyDescent="0.15">
      <c r="B114" s="385"/>
      <c r="C114" s="385"/>
      <c r="D114" s="385" t="s">
        <v>765</v>
      </c>
      <c r="E114" s="387" t="s">
        <v>757</v>
      </c>
      <c r="F114" s="66" t="s">
        <v>766</v>
      </c>
      <c r="G114" s="67" t="s">
        <v>57</v>
      </c>
      <c r="H114" s="67" t="s">
        <v>57</v>
      </c>
      <c r="I114" s="391"/>
      <c r="J114" s="391"/>
    </row>
    <row r="115" spans="2:10" ht="12" x14ac:dyDescent="0.15">
      <c r="B115" s="385"/>
      <c r="C115" s="385"/>
      <c r="D115" s="385"/>
      <c r="E115" s="387"/>
      <c r="F115" s="66" t="s">
        <v>767</v>
      </c>
      <c r="G115" s="67" t="s">
        <v>57</v>
      </c>
      <c r="H115" s="67" t="s">
        <v>57</v>
      </c>
      <c r="I115" s="391"/>
      <c r="J115" s="391"/>
    </row>
    <row r="116" spans="2:10" ht="12" x14ac:dyDescent="0.15">
      <c r="B116" s="385"/>
      <c r="C116" s="385"/>
      <c r="D116" s="385"/>
      <c r="E116" s="387"/>
      <c r="F116" s="66" t="s">
        <v>768</v>
      </c>
      <c r="G116" s="67" t="s">
        <v>57</v>
      </c>
      <c r="H116" s="67" t="s">
        <v>57</v>
      </c>
      <c r="I116" s="391"/>
      <c r="J116" s="391"/>
    </row>
    <row r="117" spans="2:10" ht="12" x14ac:dyDescent="0.15">
      <c r="B117" s="385"/>
      <c r="C117" s="385"/>
      <c r="D117" s="385"/>
      <c r="E117" s="387"/>
      <c r="F117" s="66" t="s">
        <v>769</v>
      </c>
      <c r="G117" s="67" t="s">
        <v>57</v>
      </c>
      <c r="H117" s="67" t="s">
        <v>57</v>
      </c>
      <c r="I117" s="391"/>
      <c r="J117" s="391"/>
    </row>
    <row r="118" spans="2:10" ht="12" x14ac:dyDescent="0.15">
      <c r="B118" s="385"/>
      <c r="C118" s="385"/>
      <c r="D118" s="385" t="s">
        <v>765</v>
      </c>
      <c r="E118" s="387" t="s">
        <v>763</v>
      </c>
      <c r="F118" s="66" t="s">
        <v>766</v>
      </c>
      <c r="G118" s="67" t="s">
        <v>57</v>
      </c>
      <c r="H118" s="67" t="s">
        <v>57</v>
      </c>
      <c r="I118" s="391"/>
      <c r="J118" s="391"/>
    </row>
    <row r="119" spans="2:10" ht="12" x14ac:dyDescent="0.15">
      <c r="B119" s="385"/>
      <c r="C119" s="385"/>
      <c r="D119" s="385"/>
      <c r="E119" s="387"/>
      <c r="F119" s="66" t="s">
        <v>767</v>
      </c>
      <c r="G119" s="67" t="s">
        <v>57</v>
      </c>
      <c r="H119" s="67" t="s">
        <v>57</v>
      </c>
      <c r="I119" s="391"/>
      <c r="J119" s="391"/>
    </row>
    <row r="120" spans="2:10" ht="12" x14ac:dyDescent="0.15">
      <c r="B120" s="385"/>
      <c r="C120" s="385"/>
      <c r="D120" s="385"/>
      <c r="E120" s="387"/>
      <c r="F120" s="66" t="s">
        <v>768</v>
      </c>
      <c r="G120" s="67" t="s">
        <v>57</v>
      </c>
      <c r="H120" s="67" t="s">
        <v>57</v>
      </c>
      <c r="I120" s="391"/>
      <c r="J120" s="391"/>
    </row>
    <row r="121" spans="2:10" ht="12" x14ac:dyDescent="0.15">
      <c r="B121" s="385"/>
      <c r="C121" s="385"/>
      <c r="D121" s="385"/>
      <c r="E121" s="387"/>
      <c r="F121" s="66" t="s">
        <v>769</v>
      </c>
      <c r="G121" s="67" t="s">
        <v>57</v>
      </c>
      <c r="H121" s="67" t="s">
        <v>57</v>
      </c>
      <c r="I121" s="392"/>
      <c r="J121" s="392"/>
    </row>
    <row r="123" spans="2:10" ht="12" x14ac:dyDescent="0.15">
      <c r="B123" s="135" t="s">
        <v>51</v>
      </c>
    </row>
    <row r="124" spans="2:10" ht="12" x14ac:dyDescent="0.15">
      <c r="B124" s="385" t="s">
        <v>748</v>
      </c>
      <c r="C124" s="385"/>
      <c r="D124" s="386" t="s">
        <v>749</v>
      </c>
      <c r="E124" s="386" t="s">
        <v>750</v>
      </c>
      <c r="F124" s="386" t="s">
        <v>751</v>
      </c>
      <c r="G124" s="386" t="s">
        <v>752</v>
      </c>
      <c r="H124" s="386"/>
      <c r="I124" s="388" t="s">
        <v>753</v>
      </c>
      <c r="J124" s="389"/>
    </row>
    <row r="125" spans="2:10" ht="12" x14ac:dyDescent="0.15">
      <c r="B125" s="385"/>
      <c r="C125" s="385"/>
      <c r="D125" s="386"/>
      <c r="E125" s="386"/>
      <c r="F125" s="386"/>
      <c r="G125" s="65" t="s">
        <v>754</v>
      </c>
      <c r="H125" s="65" t="s">
        <v>755</v>
      </c>
      <c r="I125" s="65" t="s">
        <v>754</v>
      </c>
      <c r="J125" s="65" t="s">
        <v>755</v>
      </c>
    </row>
    <row r="126" spans="2:10" ht="12" x14ac:dyDescent="0.15">
      <c r="B126" s="385"/>
      <c r="C126" s="385"/>
      <c r="D126" s="385" t="s">
        <v>756</v>
      </c>
      <c r="E126" s="387" t="s">
        <v>757</v>
      </c>
      <c r="F126" s="66" t="s">
        <v>758</v>
      </c>
      <c r="G126" s="67" t="s">
        <v>57</v>
      </c>
      <c r="H126" s="67" t="s">
        <v>57</v>
      </c>
      <c r="I126" s="390" t="s">
        <v>57</v>
      </c>
      <c r="J126" s="390" t="s">
        <v>57</v>
      </c>
    </row>
    <row r="127" spans="2:10" ht="12" x14ac:dyDescent="0.15">
      <c r="B127" s="385"/>
      <c r="C127" s="385"/>
      <c r="D127" s="385"/>
      <c r="E127" s="387"/>
      <c r="F127" s="66" t="s">
        <v>759</v>
      </c>
      <c r="G127" s="67" t="s">
        <v>57</v>
      </c>
      <c r="H127" s="67" t="s">
        <v>57</v>
      </c>
      <c r="I127" s="391"/>
      <c r="J127" s="391"/>
    </row>
    <row r="128" spans="2:10" ht="12" x14ac:dyDescent="0.15">
      <c r="B128" s="385"/>
      <c r="C128" s="385"/>
      <c r="D128" s="385"/>
      <c r="E128" s="387"/>
      <c r="F128" s="66" t="s">
        <v>760</v>
      </c>
      <c r="G128" s="67" t="s">
        <v>57</v>
      </c>
      <c r="H128" s="67" t="s">
        <v>57</v>
      </c>
      <c r="I128" s="391"/>
      <c r="J128" s="391"/>
    </row>
    <row r="129" spans="2:10" ht="12" x14ac:dyDescent="0.15">
      <c r="B129" s="385"/>
      <c r="C129" s="385"/>
      <c r="D129" s="385"/>
      <c r="E129" s="387"/>
      <c r="F129" s="66" t="s">
        <v>761</v>
      </c>
      <c r="G129" s="67" t="s">
        <v>57</v>
      </c>
      <c r="H129" s="67" t="s">
        <v>57</v>
      </c>
      <c r="I129" s="391"/>
      <c r="J129" s="391"/>
    </row>
    <row r="130" spans="2:10" ht="12" x14ac:dyDescent="0.15">
      <c r="B130" s="385"/>
      <c r="C130" s="385"/>
      <c r="D130" s="385" t="s">
        <v>762</v>
      </c>
      <c r="E130" s="387" t="s">
        <v>763</v>
      </c>
      <c r="F130" s="66" t="s">
        <v>758</v>
      </c>
      <c r="G130" s="67" t="s">
        <v>57</v>
      </c>
      <c r="H130" s="67" t="s">
        <v>57</v>
      </c>
      <c r="I130" s="391"/>
      <c r="J130" s="391"/>
    </row>
    <row r="131" spans="2:10" ht="12" x14ac:dyDescent="0.15">
      <c r="B131" s="385"/>
      <c r="C131" s="385"/>
      <c r="D131" s="385"/>
      <c r="E131" s="387"/>
      <c r="F131" s="66" t="s">
        <v>759</v>
      </c>
      <c r="G131" s="67" t="s">
        <v>57</v>
      </c>
      <c r="H131" s="67" t="s">
        <v>57</v>
      </c>
      <c r="I131" s="391"/>
      <c r="J131" s="391"/>
    </row>
    <row r="132" spans="2:10" ht="12" x14ac:dyDescent="0.15">
      <c r="B132" s="385"/>
      <c r="C132" s="385"/>
      <c r="D132" s="385"/>
      <c r="E132" s="387"/>
      <c r="F132" s="66" t="s">
        <v>760</v>
      </c>
      <c r="G132" s="67" t="s">
        <v>57</v>
      </c>
      <c r="H132" s="67" t="s">
        <v>57</v>
      </c>
      <c r="I132" s="391"/>
      <c r="J132" s="391"/>
    </row>
    <row r="133" spans="2:10" ht="12" x14ac:dyDescent="0.15">
      <c r="B133" s="385"/>
      <c r="C133" s="385"/>
      <c r="D133" s="385"/>
      <c r="E133" s="387"/>
      <c r="F133" s="66" t="s">
        <v>761</v>
      </c>
      <c r="G133" s="67" t="s">
        <v>57</v>
      </c>
      <c r="H133" s="67" t="s">
        <v>57</v>
      </c>
      <c r="I133" s="391"/>
      <c r="J133" s="391"/>
    </row>
    <row r="134" spans="2:10" ht="12" x14ac:dyDescent="0.15">
      <c r="B134" s="385"/>
      <c r="C134" s="385"/>
      <c r="D134" s="385" t="s">
        <v>765</v>
      </c>
      <c r="E134" s="387" t="s">
        <v>757</v>
      </c>
      <c r="F134" s="66" t="s">
        <v>766</v>
      </c>
      <c r="G134" s="67" t="s">
        <v>57</v>
      </c>
      <c r="H134" s="67" t="s">
        <v>57</v>
      </c>
      <c r="I134" s="391"/>
      <c r="J134" s="391"/>
    </row>
    <row r="135" spans="2:10" ht="12" x14ac:dyDescent="0.15">
      <c r="B135" s="385"/>
      <c r="C135" s="385"/>
      <c r="D135" s="385"/>
      <c r="E135" s="387"/>
      <c r="F135" s="66" t="s">
        <v>767</v>
      </c>
      <c r="G135" s="67" t="s">
        <v>57</v>
      </c>
      <c r="H135" s="67" t="s">
        <v>57</v>
      </c>
      <c r="I135" s="391"/>
      <c r="J135" s="391"/>
    </row>
    <row r="136" spans="2:10" ht="12" x14ac:dyDescent="0.15">
      <c r="B136" s="385"/>
      <c r="C136" s="385"/>
      <c r="D136" s="385"/>
      <c r="E136" s="387"/>
      <c r="F136" s="66" t="s">
        <v>768</v>
      </c>
      <c r="G136" s="67" t="s">
        <v>57</v>
      </c>
      <c r="H136" s="67" t="s">
        <v>57</v>
      </c>
      <c r="I136" s="391"/>
      <c r="J136" s="391"/>
    </row>
    <row r="137" spans="2:10" ht="12" x14ac:dyDescent="0.15">
      <c r="B137" s="385"/>
      <c r="C137" s="385"/>
      <c r="D137" s="385"/>
      <c r="E137" s="387"/>
      <c r="F137" s="66" t="s">
        <v>769</v>
      </c>
      <c r="G137" s="67" t="s">
        <v>57</v>
      </c>
      <c r="H137" s="67" t="s">
        <v>57</v>
      </c>
      <c r="I137" s="391"/>
      <c r="J137" s="391"/>
    </row>
    <row r="138" spans="2:10" ht="12" x14ac:dyDescent="0.15">
      <c r="B138" s="385"/>
      <c r="C138" s="385"/>
      <c r="D138" s="385" t="s">
        <v>765</v>
      </c>
      <c r="E138" s="387" t="s">
        <v>763</v>
      </c>
      <c r="F138" s="66" t="s">
        <v>766</v>
      </c>
      <c r="G138" s="67" t="s">
        <v>57</v>
      </c>
      <c r="H138" s="67" t="s">
        <v>57</v>
      </c>
      <c r="I138" s="391"/>
      <c r="J138" s="391"/>
    </row>
    <row r="139" spans="2:10" ht="12" x14ac:dyDescent="0.15">
      <c r="B139" s="385"/>
      <c r="C139" s="385"/>
      <c r="D139" s="385"/>
      <c r="E139" s="387"/>
      <c r="F139" s="66" t="s">
        <v>767</v>
      </c>
      <c r="G139" s="67" t="s">
        <v>57</v>
      </c>
      <c r="H139" s="67" t="s">
        <v>57</v>
      </c>
      <c r="I139" s="391"/>
      <c r="J139" s="391"/>
    </row>
    <row r="140" spans="2:10" ht="12" x14ac:dyDescent="0.15">
      <c r="B140" s="385"/>
      <c r="C140" s="385"/>
      <c r="D140" s="385"/>
      <c r="E140" s="387"/>
      <c r="F140" s="66" t="s">
        <v>768</v>
      </c>
      <c r="G140" s="67" t="s">
        <v>57</v>
      </c>
      <c r="H140" s="67" t="s">
        <v>57</v>
      </c>
      <c r="I140" s="391"/>
      <c r="J140" s="391"/>
    </row>
    <row r="141" spans="2:10" ht="12" x14ac:dyDescent="0.15">
      <c r="B141" s="385"/>
      <c r="C141" s="385"/>
      <c r="D141" s="385"/>
      <c r="E141" s="387"/>
      <c r="F141" s="66" t="s">
        <v>769</v>
      </c>
      <c r="G141" s="67" t="s">
        <v>57</v>
      </c>
      <c r="H141" s="67" t="s">
        <v>57</v>
      </c>
      <c r="I141" s="392"/>
      <c r="J141" s="392"/>
    </row>
    <row r="144" spans="2:10" ht="12" x14ac:dyDescent="0.15">
      <c r="B144" s="135" t="s">
        <v>56</v>
      </c>
    </row>
    <row r="145" spans="2:10" ht="12" x14ac:dyDescent="0.15">
      <c r="B145" s="385" t="s">
        <v>748</v>
      </c>
      <c r="C145" s="385"/>
      <c r="D145" s="386" t="s">
        <v>749</v>
      </c>
      <c r="E145" s="386" t="s">
        <v>750</v>
      </c>
      <c r="F145" s="386" t="s">
        <v>751</v>
      </c>
      <c r="G145" s="386" t="s">
        <v>752</v>
      </c>
      <c r="H145" s="386"/>
      <c r="I145" s="388" t="s">
        <v>753</v>
      </c>
      <c r="J145" s="389"/>
    </row>
    <row r="146" spans="2:10" ht="12" x14ac:dyDescent="0.15">
      <c r="B146" s="385"/>
      <c r="C146" s="385"/>
      <c r="D146" s="386"/>
      <c r="E146" s="386"/>
      <c r="F146" s="386"/>
      <c r="G146" s="65" t="s">
        <v>754</v>
      </c>
      <c r="H146" s="65" t="s">
        <v>755</v>
      </c>
      <c r="I146" s="65" t="s">
        <v>754</v>
      </c>
      <c r="J146" s="65" t="s">
        <v>755</v>
      </c>
    </row>
    <row r="147" spans="2:10" ht="12" x14ac:dyDescent="0.15">
      <c r="B147" s="385"/>
      <c r="C147" s="385"/>
      <c r="D147" s="385" t="s">
        <v>756</v>
      </c>
      <c r="E147" s="387" t="s">
        <v>757</v>
      </c>
      <c r="F147" s="66" t="s">
        <v>758</v>
      </c>
      <c r="G147" s="67" t="s">
        <v>57</v>
      </c>
      <c r="H147" s="67" t="s">
        <v>57</v>
      </c>
      <c r="I147" s="390" t="s">
        <v>57</v>
      </c>
      <c r="J147" s="390" t="s">
        <v>57</v>
      </c>
    </row>
    <row r="148" spans="2:10" ht="12" x14ac:dyDescent="0.15">
      <c r="B148" s="385"/>
      <c r="C148" s="385"/>
      <c r="D148" s="385"/>
      <c r="E148" s="387"/>
      <c r="F148" s="66" t="s">
        <v>759</v>
      </c>
      <c r="G148" s="67" t="s">
        <v>57</v>
      </c>
      <c r="H148" s="67" t="s">
        <v>57</v>
      </c>
      <c r="I148" s="391"/>
      <c r="J148" s="391"/>
    </row>
    <row r="149" spans="2:10" ht="12" x14ac:dyDescent="0.15">
      <c r="B149" s="385"/>
      <c r="C149" s="385"/>
      <c r="D149" s="385"/>
      <c r="E149" s="387"/>
      <c r="F149" s="66" t="s">
        <v>760</v>
      </c>
      <c r="G149" s="67" t="s">
        <v>57</v>
      </c>
      <c r="H149" s="67" t="s">
        <v>57</v>
      </c>
      <c r="I149" s="391"/>
      <c r="J149" s="391"/>
    </row>
    <row r="150" spans="2:10" ht="12" x14ac:dyDescent="0.15">
      <c r="B150" s="385"/>
      <c r="C150" s="385"/>
      <c r="D150" s="385"/>
      <c r="E150" s="387"/>
      <c r="F150" s="66" t="s">
        <v>761</v>
      </c>
      <c r="G150" s="67" t="s">
        <v>57</v>
      </c>
      <c r="H150" s="67" t="s">
        <v>57</v>
      </c>
      <c r="I150" s="391"/>
      <c r="J150" s="391"/>
    </row>
    <row r="151" spans="2:10" ht="12" x14ac:dyDescent="0.15">
      <c r="B151" s="385"/>
      <c r="C151" s="385"/>
      <c r="D151" s="385" t="s">
        <v>762</v>
      </c>
      <c r="E151" s="387" t="s">
        <v>763</v>
      </c>
      <c r="F151" s="66" t="s">
        <v>758</v>
      </c>
      <c r="G151" s="67" t="s">
        <v>57</v>
      </c>
      <c r="H151" s="67" t="s">
        <v>57</v>
      </c>
      <c r="I151" s="391"/>
      <c r="J151" s="391"/>
    </row>
    <row r="152" spans="2:10" ht="12" x14ac:dyDescent="0.15">
      <c r="B152" s="385"/>
      <c r="C152" s="385"/>
      <c r="D152" s="385"/>
      <c r="E152" s="387"/>
      <c r="F152" s="66" t="s">
        <v>759</v>
      </c>
      <c r="G152" s="67" t="s">
        <v>57</v>
      </c>
      <c r="H152" s="67" t="s">
        <v>57</v>
      </c>
      <c r="I152" s="391"/>
      <c r="J152" s="391"/>
    </row>
    <row r="153" spans="2:10" ht="12" x14ac:dyDescent="0.15">
      <c r="B153" s="385"/>
      <c r="C153" s="385"/>
      <c r="D153" s="385"/>
      <c r="E153" s="387"/>
      <c r="F153" s="66" t="s">
        <v>760</v>
      </c>
      <c r="G153" s="67" t="s">
        <v>57</v>
      </c>
      <c r="H153" s="67" t="s">
        <v>57</v>
      </c>
      <c r="I153" s="391"/>
      <c r="J153" s="391"/>
    </row>
    <row r="154" spans="2:10" ht="12" x14ac:dyDescent="0.15">
      <c r="B154" s="385"/>
      <c r="C154" s="385"/>
      <c r="D154" s="385"/>
      <c r="E154" s="387"/>
      <c r="F154" s="66" t="s">
        <v>761</v>
      </c>
      <c r="G154" s="67" t="s">
        <v>57</v>
      </c>
      <c r="H154" s="67" t="s">
        <v>57</v>
      </c>
      <c r="I154" s="391"/>
      <c r="J154" s="391"/>
    </row>
    <row r="155" spans="2:10" ht="12" x14ac:dyDescent="0.15">
      <c r="B155" s="385"/>
      <c r="C155" s="385"/>
      <c r="D155" s="385" t="s">
        <v>765</v>
      </c>
      <c r="E155" s="387" t="s">
        <v>757</v>
      </c>
      <c r="F155" s="66" t="s">
        <v>766</v>
      </c>
      <c r="G155" s="67" t="s">
        <v>57</v>
      </c>
      <c r="H155" s="67" t="s">
        <v>57</v>
      </c>
      <c r="I155" s="391"/>
      <c r="J155" s="391"/>
    </row>
    <row r="156" spans="2:10" ht="12" x14ac:dyDescent="0.15">
      <c r="B156" s="385"/>
      <c r="C156" s="385"/>
      <c r="D156" s="385"/>
      <c r="E156" s="387"/>
      <c r="F156" s="66" t="s">
        <v>767</v>
      </c>
      <c r="G156" s="67" t="s">
        <v>57</v>
      </c>
      <c r="H156" s="67" t="s">
        <v>57</v>
      </c>
      <c r="I156" s="391"/>
      <c r="J156" s="391"/>
    </row>
    <row r="157" spans="2:10" ht="12" x14ac:dyDescent="0.15">
      <c r="B157" s="385"/>
      <c r="C157" s="385"/>
      <c r="D157" s="385"/>
      <c r="E157" s="387"/>
      <c r="F157" s="66" t="s">
        <v>768</v>
      </c>
      <c r="G157" s="67" t="s">
        <v>57</v>
      </c>
      <c r="H157" s="67" t="s">
        <v>57</v>
      </c>
      <c r="I157" s="391"/>
      <c r="J157" s="391"/>
    </row>
    <row r="158" spans="2:10" ht="12" x14ac:dyDescent="0.15">
      <c r="B158" s="385"/>
      <c r="C158" s="385"/>
      <c r="D158" s="385"/>
      <c r="E158" s="387"/>
      <c r="F158" s="66" t="s">
        <v>769</v>
      </c>
      <c r="G158" s="67" t="s">
        <v>57</v>
      </c>
      <c r="H158" s="67" t="s">
        <v>57</v>
      </c>
      <c r="I158" s="391"/>
      <c r="J158" s="391"/>
    </row>
    <row r="159" spans="2:10" ht="12" x14ac:dyDescent="0.15">
      <c r="B159" s="385"/>
      <c r="C159" s="385"/>
      <c r="D159" s="385" t="s">
        <v>765</v>
      </c>
      <c r="E159" s="387" t="s">
        <v>763</v>
      </c>
      <c r="F159" s="66" t="s">
        <v>766</v>
      </c>
      <c r="G159" s="67" t="s">
        <v>57</v>
      </c>
      <c r="H159" s="67" t="s">
        <v>57</v>
      </c>
      <c r="I159" s="391"/>
      <c r="J159" s="391"/>
    </row>
    <row r="160" spans="2:10" ht="12" x14ac:dyDescent="0.15">
      <c r="B160" s="385"/>
      <c r="C160" s="385"/>
      <c r="D160" s="385"/>
      <c r="E160" s="387"/>
      <c r="F160" s="66" t="s">
        <v>767</v>
      </c>
      <c r="G160" s="67" t="s">
        <v>57</v>
      </c>
      <c r="H160" s="67" t="s">
        <v>57</v>
      </c>
      <c r="I160" s="391"/>
      <c r="J160" s="391"/>
    </row>
    <row r="161" spans="2:10" ht="12" x14ac:dyDescent="0.15">
      <c r="B161" s="385"/>
      <c r="C161" s="385"/>
      <c r="D161" s="385"/>
      <c r="E161" s="387"/>
      <c r="F161" s="66" t="s">
        <v>768</v>
      </c>
      <c r="G161" s="67" t="s">
        <v>57</v>
      </c>
      <c r="H161" s="67" t="s">
        <v>57</v>
      </c>
      <c r="I161" s="391"/>
      <c r="J161" s="391"/>
    </row>
    <row r="162" spans="2:10" ht="12" x14ac:dyDescent="0.15">
      <c r="B162" s="385"/>
      <c r="C162" s="385"/>
      <c r="D162" s="385"/>
      <c r="E162" s="387"/>
      <c r="F162" s="66" t="s">
        <v>769</v>
      </c>
      <c r="G162" s="67" t="s">
        <v>57</v>
      </c>
      <c r="H162" s="67" t="s">
        <v>57</v>
      </c>
      <c r="I162" s="392"/>
      <c r="J162" s="392"/>
    </row>
    <row r="165" spans="2:10" ht="12" x14ac:dyDescent="0.15">
      <c r="B165" s="135" t="s">
        <v>58</v>
      </c>
    </row>
    <row r="166" spans="2:10" ht="12" x14ac:dyDescent="0.15">
      <c r="B166" s="385" t="s">
        <v>748</v>
      </c>
      <c r="C166" s="385"/>
      <c r="D166" s="386" t="s">
        <v>749</v>
      </c>
      <c r="E166" s="386" t="s">
        <v>750</v>
      </c>
      <c r="F166" s="386" t="s">
        <v>751</v>
      </c>
      <c r="G166" s="386" t="s">
        <v>752</v>
      </c>
      <c r="H166" s="386"/>
      <c r="I166" s="388" t="s">
        <v>753</v>
      </c>
      <c r="J166" s="389"/>
    </row>
    <row r="167" spans="2:10" ht="12" x14ac:dyDescent="0.15">
      <c r="B167" s="385"/>
      <c r="C167" s="385"/>
      <c r="D167" s="386"/>
      <c r="E167" s="386"/>
      <c r="F167" s="386"/>
      <c r="G167" s="65" t="s">
        <v>754</v>
      </c>
      <c r="H167" s="65" t="s">
        <v>755</v>
      </c>
      <c r="I167" s="65" t="s">
        <v>754</v>
      </c>
      <c r="J167" s="65" t="s">
        <v>755</v>
      </c>
    </row>
    <row r="168" spans="2:10" ht="12" x14ac:dyDescent="0.15">
      <c r="B168" s="385"/>
      <c r="C168" s="385"/>
      <c r="D168" s="385" t="s">
        <v>756</v>
      </c>
      <c r="E168" s="387" t="s">
        <v>757</v>
      </c>
      <c r="F168" s="66" t="s">
        <v>758</v>
      </c>
      <c r="G168" s="67" t="s">
        <v>57</v>
      </c>
      <c r="H168" s="67" t="s">
        <v>57</v>
      </c>
      <c r="I168" s="390" t="s">
        <v>57</v>
      </c>
      <c r="J168" s="390" t="s">
        <v>57</v>
      </c>
    </row>
    <row r="169" spans="2:10" ht="12" x14ac:dyDescent="0.15">
      <c r="B169" s="385"/>
      <c r="C169" s="385"/>
      <c r="D169" s="385"/>
      <c r="E169" s="387"/>
      <c r="F169" s="66" t="s">
        <v>759</v>
      </c>
      <c r="G169" s="67" t="s">
        <v>57</v>
      </c>
      <c r="H169" s="67" t="s">
        <v>57</v>
      </c>
      <c r="I169" s="391"/>
      <c r="J169" s="391"/>
    </row>
    <row r="170" spans="2:10" ht="12" x14ac:dyDescent="0.15">
      <c r="B170" s="385"/>
      <c r="C170" s="385"/>
      <c r="D170" s="385"/>
      <c r="E170" s="387"/>
      <c r="F170" s="66" t="s">
        <v>760</v>
      </c>
      <c r="G170" s="67" t="s">
        <v>57</v>
      </c>
      <c r="H170" s="67" t="s">
        <v>57</v>
      </c>
      <c r="I170" s="391"/>
      <c r="J170" s="391"/>
    </row>
    <row r="171" spans="2:10" ht="12" x14ac:dyDescent="0.15">
      <c r="B171" s="385"/>
      <c r="C171" s="385"/>
      <c r="D171" s="385"/>
      <c r="E171" s="387"/>
      <c r="F171" s="66" t="s">
        <v>761</v>
      </c>
      <c r="G171" s="67" t="s">
        <v>57</v>
      </c>
      <c r="H171" s="67" t="s">
        <v>57</v>
      </c>
      <c r="I171" s="391"/>
      <c r="J171" s="391"/>
    </row>
    <row r="172" spans="2:10" ht="12" x14ac:dyDescent="0.15">
      <c r="B172" s="385"/>
      <c r="C172" s="385"/>
      <c r="D172" s="385" t="s">
        <v>762</v>
      </c>
      <c r="E172" s="387" t="s">
        <v>763</v>
      </c>
      <c r="F172" s="66" t="s">
        <v>758</v>
      </c>
      <c r="G172" s="67" t="s">
        <v>57</v>
      </c>
      <c r="H172" s="67" t="s">
        <v>57</v>
      </c>
      <c r="I172" s="391"/>
      <c r="J172" s="391"/>
    </row>
    <row r="173" spans="2:10" ht="12" x14ac:dyDescent="0.15">
      <c r="B173" s="385"/>
      <c r="C173" s="385"/>
      <c r="D173" s="385"/>
      <c r="E173" s="387"/>
      <c r="F173" s="66" t="s">
        <v>759</v>
      </c>
      <c r="G173" s="67" t="s">
        <v>57</v>
      </c>
      <c r="H173" s="67" t="s">
        <v>57</v>
      </c>
      <c r="I173" s="391"/>
      <c r="J173" s="391"/>
    </row>
    <row r="174" spans="2:10" ht="12" x14ac:dyDescent="0.15">
      <c r="B174" s="385"/>
      <c r="C174" s="385"/>
      <c r="D174" s="385"/>
      <c r="E174" s="387"/>
      <c r="F174" s="66" t="s">
        <v>760</v>
      </c>
      <c r="G174" s="67" t="s">
        <v>57</v>
      </c>
      <c r="H174" s="67" t="s">
        <v>57</v>
      </c>
      <c r="I174" s="391"/>
      <c r="J174" s="391"/>
    </row>
    <row r="175" spans="2:10" ht="12" x14ac:dyDescent="0.15">
      <c r="B175" s="385"/>
      <c r="C175" s="385"/>
      <c r="D175" s="385"/>
      <c r="E175" s="387"/>
      <c r="F175" s="66" t="s">
        <v>761</v>
      </c>
      <c r="G175" s="67" t="s">
        <v>57</v>
      </c>
      <c r="H175" s="67" t="s">
        <v>57</v>
      </c>
      <c r="I175" s="391"/>
      <c r="J175" s="391"/>
    </row>
    <row r="176" spans="2:10" ht="12" x14ac:dyDescent="0.15">
      <c r="B176" s="385"/>
      <c r="C176" s="385"/>
      <c r="D176" s="385" t="s">
        <v>765</v>
      </c>
      <c r="E176" s="387" t="s">
        <v>757</v>
      </c>
      <c r="F176" s="66" t="s">
        <v>766</v>
      </c>
      <c r="G176" s="67" t="s">
        <v>57</v>
      </c>
      <c r="H176" s="67" t="s">
        <v>57</v>
      </c>
      <c r="I176" s="391"/>
      <c r="J176" s="391"/>
    </row>
    <row r="177" spans="2:10" ht="12" x14ac:dyDescent="0.15">
      <c r="B177" s="385"/>
      <c r="C177" s="385"/>
      <c r="D177" s="385"/>
      <c r="E177" s="387"/>
      <c r="F177" s="66" t="s">
        <v>767</v>
      </c>
      <c r="G177" s="67" t="s">
        <v>57</v>
      </c>
      <c r="H177" s="67" t="s">
        <v>57</v>
      </c>
      <c r="I177" s="391"/>
      <c r="J177" s="391"/>
    </row>
    <row r="178" spans="2:10" ht="12" x14ac:dyDescent="0.15">
      <c r="B178" s="385"/>
      <c r="C178" s="385"/>
      <c r="D178" s="385"/>
      <c r="E178" s="387"/>
      <c r="F178" s="66" t="s">
        <v>768</v>
      </c>
      <c r="G178" s="67" t="s">
        <v>57</v>
      </c>
      <c r="H178" s="67" t="s">
        <v>57</v>
      </c>
      <c r="I178" s="391"/>
      <c r="J178" s="391"/>
    </row>
    <row r="179" spans="2:10" ht="12" x14ac:dyDescent="0.15">
      <c r="B179" s="385"/>
      <c r="C179" s="385"/>
      <c r="D179" s="385"/>
      <c r="E179" s="387"/>
      <c r="F179" s="66" t="s">
        <v>769</v>
      </c>
      <c r="G179" s="67" t="s">
        <v>57</v>
      </c>
      <c r="H179" s="67" t="s">
        <v>57</v>
      </c>
      <c r="I179" s="391"/>
      <c r="J179" s="391"/>
    </row>
    <row r="180" spans="2:10" ht="12" x14ac:dyDescent="0.15">
      <c r="B180" s="385"/>
      <c r="C180" s="385"/>
      <c r="D180" s="385" t="s">
        <v>765</v>
      </c>
      <c r="E180" s="387" t="s">
        <v>763</v>
      </c>
      <c r="F180" s="66" t="s">
        <v>766</v>
      </c>
      <c r="G180" s="67" t="s">
        <v>57</v>
      </c>
      <c r="H180" s="67" t="s">
        <v>57</v>
      </c>
      <c r="I180" s="391"/>
      <c r="J180" s="391"/>
    </row>
    <row r="181" spans="2:10" ht="12" x14ac:dyDescent="0.15">
      <c r="B181" s="385"/>
      <c r="C181" s="385"/>
      <c r="D181" s="385"/>
      <c r="E181" s="387"/>
      <c r="F181" s="66" t="s">
        <v>767</v>
      </c>
      <c r="G181" s="67" t="s">
        <v>57</v>
      </c>
      <c r="H181" s="67" t="s">
        <v>57</v>
      </c>
      <c r="I181" s="391"/>
      <c r="J181" s="391"/>
    </row>
    <row r="182" spans="2:10" ht="12" x14ac:dyDescent="0.15">
      <c r="B182" s="385"/>
      <c r="C182" s="385"/>
      <c r="D182" s="385"/>
      <c r="E182" s="387"/>
      <c r="F182" s="66" t="s">
        <v>768</v>
      </c>
      <c r="G182" s="67" t="s">
        <v>57</v>
      </c>
      <c r="H182" s="67" t="s">
        <v>57</v>
      </c>
      <c r="I182" s="391"/>
      <c r="J182" s="391"/>
    </row>
    <row r="183" spans="2:10" ht="12" x14ac:dyDescent="0.15">
      <c r="B183" s="385"/>
      <c r="C183" s="385"/>
      <c r="D183" s="385"/>
      <c r="E183" s="387"/>
      <c r="F183" s="66" t="s">
        <v>769</v>
      </c>
      <c r="G183" s="67" t="s">
        <v>57</v>
      </c>
      <c r="H183" s="67" t="s">
        <v>57</v>
      </c>
      <c r="I183" s="392"/>
      <c r="J183" s="392"/>
    </row>
    <row r="186" spans="2:10" ht="12" x14ac:dyDescent="0.15">
      <c r="B186" s="135" t="s">
        <v>59</v>
      </c>
    </row>
    <row r="187" spans="2:10" ht="12" x14ac:dyDescent="0.15">
      <c r="B187" s="385" t="s">
        <v>748</v>
      </c>
      <c r="C187" s="385"/>
      <c r="D187" s="386" t="s">
        <v>749</v>
      </c>
      <c r="E187" s="386" t="s">
        <v>750</v>
      </c>
      <c r="F187" s="386" t="s">
        <v>751</v>
      </c>
      <c r="G187" s="386" t="s">
        <v>752</v>
      </c>
      <c r="H187" s="386"/>
      <c r="I187" s="388" t="s">
        <v>753</v>
      </c>
      <c r="J187" s="389"/>
    </row>
    <row r="188" spans="2:10" ht="12" x14ac:dyDescent="0.15">
      <c r="B188" s="385"/>
      <c r="C188" s="385"/>
      <c r="D188" s="386"/>
      <c r="E188" s="386"/>
      <c r="F188" s="386"/>
      <c r="G188" s="65" t="s">
        <v>754</v>
      </c>
      <c r="H188" s="65" t="s">
        <v>755</v>
      </c>
      <c r="I188" s="65" t="s">
        <v>754</v>
      </c>
      <c r="J188" s="65" t="s">
        <v>755</v>
      </c>
    </row>
    <row r="189" spans="2:10" ht="12" x14ac:dyDescent="0.15">
      <c r="B189" s="385"/>
      <c r="C189" s="385"/>
      <c r="D189" s="385" t="s">
        <v>756</v>
      </c>
      <c r="E189" s="387" t="s">
        <v>757</v>
      </c>
      <c r="F189" s="66" t="s">
        <v>758</v>
      </c>
      <c r="G189" s="67" t="s">
        <v>57</v>
      </c>
      <c r="H189" s="67" t="s">
        <v>57</v>
      </c>
      <c r="I189" s="390" t="s">
        <v>57</v>
      </c>
      <c r="J189" s="390" t="s">
        <v>57</v>
      </c>
    </row>
    <row r="190" spans="2:10" ht="12" x14ac:dyDescent="0.15">
      <c r="B190" s="385"/>
      <c r="C190" s="385"/>
      <c r="D190" s="385"/>
      <c r="E190" s="387"/>
      <c r="F190" s="66" t="s">
        <v>759</v>
      </c>
      <c r="G190" s="67" t="s">
        <v>57</v>
      </c>
      <c r="H190" s="67" t="s">
        <v>57</v>
      </c>
      <c r="I190" s="391"/>
      <c r="J190" s="391"/>
    </row>
    <row r="191" spans="2:10" ht="12" x14ac:dyDescent="0.15">
      <c r="B191" s="385"/>
      <c r="C191" s="385"/>
      <c r="D191" s="385"/>
      <c r="E191" s="387"/>
      <c r="F191" s="66" t="s">
        <v>760</v>
      </c>
      <c r="G191" s="67" t="s">
        <v>57</v>
      </c>
      <c r="H191" s="67" t="s">
        <v>57</v>
      </c>
      <c r="I191" s="391"/>
      <c r="J191" s="391"/>
    </row>
    <row r="192" spans="2:10" ht="12" x14ac:dyDescent="0.15">
      <c r="B192" s="385"/>
      <c r="C192" s="385"/>
      <c r="D192" s="385"/>
      <c r="E192" s="387"/>
      <c r="F192" s="66" t="s">
        <v>761</v>
      </c>
      <c r="G192" s="67" t="s">
        <v>57</v>
      </c>
      <c r="H192" s="67" t="s">
        <v>57</v>
      </c>
      <c r="I192" s="391"/>
      <c r="J192" s="391"/>
    </row>
    <row r="193" spans="2:10" ht="12" x14ac:dyDescent="0.15">
      <c r="B193" s="385"/>
      <c r="C193" s="385"/>
      <c r="D193" s="385" t="s">
        <v>762</v>
      </c>
      <c r="E193" s="387" t="s">
        <v>763</v>
      </c>
      <c r="F193" s="66" t="s">
        <v>758</v>
      </c>
      <c r="G193" s="67" t="s">
        <v>57</v>
      </c>
      <c r="H193" s="67" t="s">
        <v>57</v>
      </c>
      <c r="I193" s="391"/>
      <c r="J193" s="391"/>
    </row>
    <row r="194" spans="2:10" ht="12" x14ac:dyDescent="0.15">
      <c r="B194" s="385"/>
      <c r="C194" s="385"/>
      <c r="D194" s="385"/>
      <c r="E194" s="387"/>
      <c r="F194" s="66" t="s">
        <v>759</v>
      </c>
      <c r="G194" s="67" t="s">
        <v>57</v>
      </c>
      <c r="H194" s="67" t="s">
        <v>57</v>
      </c>
      <c r="I194" s="391"/>
      <c r="J194" s="391"/>
    </row>
    <row r="195" spans="2:10" ht="12" x14ac:dyDescent="0.15">
      <c r="B195" s="385"/>
      <c r="C195" s="385"/>
      <c r="D195" s="385"/>
      <c r="E195" s="387"/>
      <c r="F195" s="66" t="s">
        <v>760</v>
      </c>
      <c r="G195" s="67" t="s">
        <v>57</v>
      </c>
      <c r="H195" s="67" t="s">
        <v>57</v>
      </c>
      <c r="I195" s="391"/>
      <c r="J195" s="391"/>
    </row>
    <row r="196" spans="2:10" ht="12" x14ac:dyDescent="0.15">
      <c r="B196" s="385"/>
      <c r="C196" s="385"/>
      <c r="D196" s="385"/>
      <c r="E196" s="387"/>
      <c r="F196" s="66" t="s">
        <v>761</v>
      </c>
      <c r="G196" s="67" t="s">
        <v>57</v>
      </c>
      <c r="H196" s="67" t="s">
        <v>57</v>
      </c>
      <c r="I196" s="391"/>
      <c r="J196" s="391"/>
    </row>
    <row r="197" spans="2:10" ht="12" x14ac:dyDescent="0.15">
      <c r="B197" s="385"/>
      <c r="C197" s="385"/>
      <c r="D197" s="385" t="s">
        <v>765</v>
      </c>
      <c r="E197" s="387" t="s">
        <v>757</v>
      </c>
      <c r="F197" s="66" t="s">
        <v>766</v>
      </c>
      <c r="G197" s="67" t="s">
        <v>57</v>
      </c>
      <c r="H197" s="67" t="s">
        <v>57</v>
      </c>
      <c r="I197" s="391"/>
      <c r="J197" s="391"/>
    </row>
    <row r="198" spans="2:10" ht="12" x14ac:dyDescent="0.15">
      <c r="B198" s="385"/>
      <c r="C198" s="385"/>
      <c r="D198" s="385"/>
      <c r="E198" s="387"/>
      <c r="F198" s="66" t="s">
        <v>767</v>
      </c>
      <c r="G198" s="67" t="s">
        <v>57</v>
      </c>
      <c r="H198" s="67" t="s">
        <v>57</v>
      </c>
      <c r="I198" s="391"/>
      <c r="J198" s="391"/>
    </row>
    <row r="199" spans="2:10" ht="12" x14ac:dyDescent="0.15">
      <c r="B199" s="385"/>
      <c r="C199" s="385"/>
      <c r="D199" s="385"/>
      <c r="E199" s="387"/>
      <c r="F199" s="66" t="s">
        <v>768</v>
      </c>
      <c r="G199" s="67" t="s">
        <v>57</v>
      </c>
      <c r="H199" s="67" t="s">
        <v>57</v>
      </c>
      <c r="I199" s="391"/>
      <c r="J199" s="391"/>
    </row>
    <row r="200" spans="2:10" ht="12" x14ac:dyDescent="0.15">
      <c r="B200" s="385"/>
      <c r="C200" s="385"/>
      <c r="D200" s="385"/>
      <c r="E200" s="387"/>
      <c r="F200" s="66" t="s">
        <v>769</v>
      </c>
      <c r="G200" s="67" t="s">
        <v>57</v>
      </c>
      <c r="H200" s="67" t="s">
        <v>57</v>
      </c>
      <c r="I200" s="391"/>
      <c r="J200" s="391"/>
    </row>
    <row r="201" spans="2:10" ht="12" x14ac:dyDescent="0.15">
      <c r="B201" s="385"/>
      <c r="C201" s="385"/>
      <c r="D201" s="385" t="s">
        <v>765</v>
      </c>
      <c r="E201" s="387" t="s">
        <v>763</v>
      </c>
      <c r="F201" s="66" t="s">
        <v>766</v>
      </c>
      <c r="G201" s="67" t="s">
        <v>57</v>
      </c>
      <c r="H201" s="67" t="s">
        <v>57</v>
      </c>
      <c r="I201" s="391"/>
      <c r="J201" s="391"/>
    </row>
    <row r="202" spans="2:10" ht="12" x14ac:dyDescent="0.15">
      <c r="B202" s="385"/>
      <c r="C202" s="385"/>
      <c r="D202" s="385"/>
      <c r="E202" s="387"/>
      <c r="F202" s="66" t="s">
        <v>767</v>
      </c>
      <c r="G202" s="67" t="s">
        <v>57</v>
      </c>
      <c r="H202" s="67" t="s">
        <v>57</v>
      </c>
      <c r="I202" s="391"/>
      <c r="J202" s="391"/>
    </row>
    <row r="203" spans="2:10" ht="12" x14ac:dyDescent="0.15">
      <c r="B203" s="385"/>
      <c r="C203" s="385"/>
      <c r="D203" s="385"/>
      <c r="E203" s="387"/>
      <c r="F203" s="66" t="s">
        <v>768</v>
      </c>
      <c r="G203" s="67" t="s">
        <v>57</v>
      </c>
      <c r="H203" s="67" t="s">
        <v>57</v>
      </c>
      <c r="I203" s="391"/>
      <c r="J203" s="391"/>
    </row>
    <row r="204" spans="2:10" ht="12" x14ac:dyDescent="0.15">
      <c r="B204" s="385"/>
      <c r="C204" s="385"/>
      <c r="D204" s="385"/>
      <c r="E204" s="387"/>
      <c r="F204" s="66" t="s">
        <v>769</v>
      </c>
      <c r="G204" s="67" t="s">
        <v>57</v>
      </c>
      <c r="H204" s="67" t="s">
        <v>57</v>
      </c>
      <c r="I204" s="392"/>
      <c r="J204" s="392"/>
    </row>
    <row r="207" spans="2:10" ht="12" x14ac:dyDescent="0.15">
      <c r="B207" s="135" t="s">
        <v>60</v>
      </c>
    </row>
    <row r="208" spans="2:10" ht="12" x14ac:dyDescent="0.15">
      <c r="B208" s="385" t="s">
        <v>748</v>
      </c>
      <c r="C208" s="385"/>
      <c r="D208" s="386" t="s">
        <v>749</v>
      </c>
      <c r="E208" s="386" t="s">
        <v>750</v>
      </c>
      <c r="F208" s="386" t="s">
        <v>751</v>
      </c>
      <c r="G208" s="386" t="s">
        <v>752</v>
      </c>
      <c r="H208" s="386"/>
      <c r="I208" s="388" t="s">
        <v>753</v>
      </c>
      <c r="J208" s="389"/>
    </row>
    <row r="209" spans="2:10" ht="12" x14ac:dyDescent="0.15">
      <c r="B209" s="385"/>
      <c r="C209" s="385"/>
      <c r="D209" s="386"/>
      <c r="E209" s="386"/>
      <c r="F209" s="386"/>
      <c r="G209" s="65" t="s">
        <v>754</v>
      </c>
      <c r="H209" s="65" t="s">
        <v>755</v>
      </c>
      <c r="I209" s="65" t="s">
        <v>754</v>
      </c>
      <c r="J209" s="65" t="s">
        <v>755</v>
      </c>
    </row>
    <row r="210" spans="2:10" ht="12" x14ac:dyDescent="0.15">
      <c r="B210" s="385"/>
      <c r="C210" s="385"/>
      <c r="D210" s="385" t="s">
        <v>756</v>
      </c>
      <c r="E210" s="387" t="s">
        <v>757</v>
      </c>
      <c r="F210" s="66" t="s">
        <v>758</v>
      </c>
      <c r="G210" s="67" t="s">
        <v>57</v>
      </c>
      <c r="H210" s="67" t="s">
        <v>57</v>
      </c>
      <c r="I210" s="390" t="s">
        <v>57</v>
      </c>
      <c r="J210" s="390" t="s">
        <v>57</v>
      </c>
    </row>
    <row r="211" spans="2:10" ht="12" x14ac:dyDescent="0.15">
      <c r="B211" s="385"/>
      <c r="C211" s="385"/>
      <c r="D211" s="385"/>
      <c r="E211" s="387"/>
      <c r="F211" s="66" t="s">
        <v>759</v>
      </c>
      <c r="G211" s="67" t="s">
        <v>57</v>
      </c>
      <c r="H211" s="67" t="s">
        <v>57</v>
      </c>
      <c r="I211" s="391"/>
      <c r="J211" s="391"/>
    </row>
    <row r="212" spans="2:10" ht="12" x14ac:dyDescent="0.15">
      <c r="B212" s="385"/>
      <c r="C212" s="385"/>
      <c r="D212" s="385"/>
      <c r="E212" s="387"/>
      <c r="F212" s="66" t="s">
        <v>760</v>
      </c>
      <c r="G212" s="67" t="s">
        <v>57</v>
      </c>
      <c r="H212" s="67" t="s">
        <v>57</v>
      </c>
      <c r="I212" s="391"/>
      <c r="J212" s="391"/>
    </row>
    <row r="213" spans="2:10" ht="12" x14ac:dyDescent="0.15">
      <c r="B213" s="385"/>
      <c r="C213" s="385"/>
      <c r="D213" s="385"/>
      <c r="E213" s="387"/>
      <c r="F213" s="66" t="s">
        <v>761</v>
      </c>
      <c r="G213" s="67" t="s">
        <v>57</v>
      </c>
      <c r="H213" s="67" t="s">
        <v>57</v>
      </c>
      <c r="I213" s="391"/>
      <c r="J213" s="391"/>
    </row>
    <row r="214" spans="2:10" ht="12" x14ac:dyDescent="0.15">
      <c r="B214" s="385"/>
      <c r="C214" s="385"/>
      <c r="D214" s="385" t="s">
        <v>762</v>
      </c>
      <c r="E214" s="387" t="s">
        <v>763</v>
      </c>
      <c r="F214" s="66" t="s">
        <v>758</v>
      </c>
      <c r="G214" s="67" t="s">
        <v>57</v>
      </c>
      <c r="H214" s="67" t="s">
        <v>57</v>
      </c>
      <c r="I214" s="391"/>
      <c r="J214" s="391"/>
    </row>
    <row r="215" spans="2:10" ht="12" x14ac:dyDescent="0.15">
      <c r="B215" s="385"/>
      <c r="C215" s="385"/>
      <c r="D215" s="385"/>
      <c r="E215" s="387"/>
      <c r="F215" s="66" t="s">
        <v>759</v>
      </c>
      <c r="G215" s="67" t="s">
        <v>57</v>
      </c>
      <c r="H215" s="67" t="s">
        <v>57</v>
      </c>
      <c r="I215" s="391"/>
      <c r="J215" s="391"/>
    </row>
    <row r="216" spans="2:10" ht="12" x14ac:dyDescent="0.15">
      <c r="B216" s="385"/>
      <c r="C216" s="385"/>
      <c r="D216" s="385"/>
      <c r="E216" s="387"/>
      <c r="F216" s="66" t="s">
        <v>760</v>
      </c>
      <c r="G216" s="67" t="s">
        <v>57</v>
      </c>
      <c r="H216" s="67" t="s">
        <v>57</v>
      </c>
      <c r="I216" s="391"/>
      <c r="J216" s="391"/>
    </row>
    <row r="217" spans="2:10" ht="12" x14ac:dyDescent="0.15">
      <c r="B217" s="385"/>
      <c r="C217" s="385"/>
      <c r="D217" s="385"/>
      <c r="E217" s="387"/>
      <c r="F217" s="66" t="s">
        <v>761</v>
      </c>
      <c r="G217" s="67" t="s">
        <v>57</v>
      </c>
      <c r="H217" s="67" t="s">
        <v>57</v>
      </c>
      <c r="I217" s="391"/>
      <c r="J217" s="391"/>
    </row>
    <row r="218" spans="2:10" ht="12" x14ac:dyDescent="0.15">
      <c r="B218" s="385"/>
      <c r="C218" s="385"/>
      <c r="D218" s="385" t="s">
        <v>765</v>
      </c>
      <c r="E218" s="387" t="s">
        <v>757</v>
      </c>
      <c r="F218" s="66" t="s">
        <v>766</v>
      </c>
      <c r="G218" s="67" t="s">
        <v>57</v>
      </c>
      <c r="H218" s="67" t="s">
        <v>57</v>
      </c>
      <c r="I218" s="391"/>
      <c r="J218" s="391"/>
    </row>
    <row r="219" spans="2:10" ht="12" x14ac:dyDescent="0.15">
      <c r="B219" s="385"/>
      <c r="C219" s="385"/>
      <c r="D219" s="385"/>
      <c r="E219" s="387"/>
      <c r="F219" s="66" t="s">
        <v>767</v>
      </c>
      <c r="G219" s="67" t="s">
        <v>57</v>
      </c>
      <c r="H219" s="67" t="s">
        <v>57</v>
      </c>
      <c r="I219" s="391"/>
      <c r="J219" s="391"/>
    </row>
    <row r="220" spans="2:10" ht="12" x14ac:dyDescent="0.15">
      <c r="B220" s="385"/>
      <c r="C220" s="385"/>
      <c r="D220" s="385"/>
      <c r="E220" s="387"/>
      <c r="F220" s="66" t="s">
        <v>768</v>
      </c>
      <c r="G220" s="67" t="s">
        <v>57</v>
      </c>
      <c r="H220" s="67" t="s">
        <v>57</v>
      </c>
      <c r="I220" s="391"/>
      <c r="J220" s="391"/>
    </row>
    <row r="221" spans="2:10" ht="12" x14ac:dyDescent="0.15">
      <c r="B221" s="385"/>
      <c r="C221" s="385"/>
      <c r="D221" s="385"/>
      <c r="E221" s="387"/>
      <c r="F221" s="66" t="s">
        <v>769</v>
      </c>
      <c r="G221" s="67" t="s">
        <v>57</v>
      </c>
      <c r="H221" s="67" t="s">
        <v>57</v>
      </c>
      <c r="I221" s="391"/>
      <c r="J221" s="391"/>
    </row>
    <row r="222" spans="2:10" ht="12" x14ac:dyDescent="0.15">
      <c r="B222" s="385"/>
      <c r="C222" s="385"/>
      <c r="D222" s="385" t="s">
        <v>765</v>
      </c>
      <c r="E222" s="387" t="s">
        <v>763</v>
      </c>
      <c r="F222" s="66" t="s">
        <v>766</v>
      </c>
      <c r="G222" s="67" t="s">
        <v>57</v>
      </c>
      <c r="H222" s="67" t="s">
        <v>57</v>
      </c>
      <c r="I222" s="391"/>
      <c r="J222" s="391"/>
    </row>
    <row r="223" spans="2:10" ht="12" x14ac:dyDescent="0.15">
      <c r="B223" s="385"/>
      <c r="C223" s="385"/>
      <c r="D223" s="385"/>
      <c r="E223" s="387"/>
      <c r="F223" s="66" t="s">
        <v>767</v>
      </c>
      <c r="G223" s="67" t="s">
        <v>57</v>
      </c>
      <c r="H223" s="67" t="s">
        <v>57</v>
      </c>
      <c r="I223" s="391"/>
      <c r="J223" s="391"/>
    </row>
    <row r="224" spans="2:10" ht="12" x14ac:dyDescent="0.15">
      <c r="B224" s="385"/>
      <c r="C224" s="385"/>
      <c r="D224" s="385"/>
      <c r="E224" s="387"/>
      <c r="F224" s="66" t="s">
        <v>768</v>
      </c>
      <c r="G224" s="67" t="s">
        <v>57</v>
      </c>
      <c r="H224" s="67" t="s">
        <v>57</v>
      </c>
      <c r="I224" s="391"/>
      <c r="J224" s="391"/>
    </row>
    <row r="225" spans="2:10" ht="12" x14ac:dyDescent="0.15">
      <c r="B225" s="385"/>
      <c r="C225" s="385"/>
      <c r="D225" s="385"/>
      <c r="E225" s="387"/>
      <c r="F225" s="66" t="s">
        <v>769</v>
      </c>
      <c r="G225" s="67" t="s">
        <v>57</v>
      </c>
      <c r="H225" s="67" t="s">
        <v>57</v>
      </c>
      <c r="I225" s="392"/>
      <c r="J225" s="392"/>
    </row>
    <row r="228" spans="2:10" ht="12" x14ac:dyDescent="0.15">
      <c r="B228" s="135" t="s">
        <v>61</v>
      </c>
    </row>
    <row r="229" spans="2:10" ht="12" x14ac:dyDescent="0.15">
      <c r="B229" s="385" t="s">
        <v>748</v>
      </c>
      <c r="C229" s="385"/>
      <c r="D229" s="386" t="s">
        <v>749</v>
      </c>
      <c r="E229" s="386" t="s">
        <v>750</v>
      </c>
      <c r="F229" s="386" t="s">
        <v>751</v>
      </c>
      <c r="G229" s="386" t="s">
        <v>752</v>
      </c>
      <c r="H229" s="386"/>
      <c r="I229" s="388" t="s">
        <v>753</v>
      </c>
      <c r="J229" s="389"/>
    </row>
    <row r="230" spans="2:10" ht="12" x14ac:dyDescent="0.15">
      <c r="B230" s="385"/>
      <c r="C230" s="385"/>
      <c r="D230" s="386"/>
      <c r="E230" s="386"/>
      <c r="F230" s="386"/>
      <c r="G230" s="65" t="s">
        <v>754</v>
      </c>
      <c r="H230" s="65" t="s">
        <v>755</v>
      </c>
      <c r="I230" s="65" t="s">
        <v>754</v>
      </c>
      <c r="J230" s="65" t="s">
        <v>755</v>
      </c>
    </row>
    <row r="231" spans="2:10" ht="12" x14ac:dyDescent="0.15">
      <c r="B231" s="385"/>
      <c r="C231" s="385"/>
      <c r="D231" s="385" t="s">
        <v>756</v>
      </c>
      <c r="E231" s="387" t="s">
        <v>757</v>
      </c>
      <c r="F231" s="66" t="s">
        <v>758</v>
      </c>
      <c r="G231" s="67" t="s">
        <v>57</v>
      </c>
      <c r="H231" s="67" t="s">
        <v>57</v>
      </c>
      <c r="I231" s="390" t="s">
        <v>57</v>
      </c>
      <c r="J231" s="390" t="s">
        <v>57</v>
      </c>
    </row>
    <row r="232" spans="2:10" ht="12" x14ac:dyDescent="0.15">
      <c r="B232" s="385"/>
      <c r="C232" s="385"/>
      <c r="D232" s="385"/>
      <c r="E232" s="387"/>
      <c r="F232" s="66" t="s">
        <v>759</v>
      </c>
      <c r="G232" s="67" t="s">
        <v>57</v>
      </c>
      <c r="H232" s="67" t="s">
        <v>57</v>
      </c>
      <c r="I232" s="391"/>
      <c r="J232" s="391"/>
    </row>
    <row r="233" spans="2:10" ht="12" x14ac:dyDescent="0.15">
      <c r="B233" s="385"/>
      <c r="C233" s="385"/>
      <c r="D233" s="385"/>
      <c r="E233" s="387"/>
      <c r="F233" s="66" t="s">
        <v>760</v>
      </c>
      <c r="G233" s="67" t="s">
        <v>57</v>
      </c>
      <c r="H233" s="67" t="s">
        <v>57</v>
      </c>
      <c r="I233" s="391"/>
      <c r="J233" s="391"/>
    </row>
    <row r="234" spans="2:10" ht="12" x14ac:dyDescent="0.15">
      <c r="B234" s="385"/>
      <c r="C234" s="385"/>
      <c r="D234" s="385"/>
      <c r="E234" s="387"/>
      <c r="F234" s="66" t="s">
        <v>761</v>
      </c>
      <c r="G234" s="67" t="s">
        <v>57</v>
      </c>
      <c r="H234" s="67" t="s">
        <v>57</v>
      </c>
      <c r="I234" s="391"/>
      <c r="J234" s="391"/>
    </row>
    <row r="235" spans="2:10" ht="12" x14ac:dyDescent="0.15">
      <c r="B235" s="385"/>
      <c r="C235" s="385"/>
      <c r="D235" s="385" t="s">
        <v>762</v>
      </c>
      <c r="E235" s="387" t="s">
        <v>763</v>
      </c>
      <c r="F235" s="66" t="s">
        <v>758</v>
      </c>
      <c r="G235" s="67" t="s">
        <v>57</v>
      </c>
      <c r="H235" s="67" t="s">
        <v>57</v>
      </c>
      <c r="I235" s="391"/>
      <c r="J235" s="391"/>
    </row>
    <row r="236" spans="2:10" ht="12" x14ac:dyDescent="0.15">
      <c r="B236" s="385"/>
      <c r="C236" s="385"/>
      <c r="D236" s="385"/>
      <c r="E236" s="387"/>
      <c r="F236" s="66" t="s">
        <v>759</v>
      </c>
      <c r="G236" s="67" t="s">
        <v>57</v>
      </c>
      <c r="H236" s="67" t="s">
        <v>57</v>
      </c>
      <c r="I236" s="391"/>
      <c r="J236" s="391"/>
    </row>
    <row r="237" spans="2:10" ht="12" x14ac:dyDescent="0.15">
      <c r="B237" s="385"/>
      <c r="C237" s="385"/>
      <c r="D237" s="385"/>
      <c r="E237" s="387"/>
      <c r="F237" s="66" t="s">
        <v>760</v>
      </c>
      <c r="G237" s="67" t="s">
        <v>57</v>
      </c>
      <c r="H237" s="67" t="s">
        <v>57</v>
      </c>
      <c r="I237" s="391"/>
      <c r="J237" s="391"/>
    </row>
    <row r="238" spans="2:10" ht="12" x14ac:dyDescent="0.15">
      <c r="B238" s="385"/>
      <c r="C238" s="385"/>
      <c r="D238" s="385"/>
      <c r="E238" s="387"/>
      <c r="F238" s="66" t="s">
        <v>761</v>
      </c>
      <c r="G238" s="67" t="s">
        <v>57</v>
      </c>
      <c r="H238" s="67" t="s">
        <v>57</v>
      </c>
      <c r="I238" s="391"/>
      <c r="J238" s="391"/>
    </row>
    <row r="239" spans="2:10" ht="12" x14ac:dyDescent="0.15">
      <c r="B239" s="385"/>
      <c r="C239" s="385"/>
      <c r="D239" s="385" t="s">
        <v>765</v>
      </c>
      <c r="E239" s="387" t="s">
        <v>757</v>
      </c>
      <c r="F239" s="66" t="s">
        <v>766</v>
      </c>
      <c r="G239" s="67" t="s">
        <v>57</v>
      </c>
      <c r="H239" s="67" t="s">
        <v>57</v>
      </c>
      <c r="I239" s="391"/>
      <c r="J239" s="391"/>
    </row>
    <row r="240" spans="2:10" ht="12" x14ac:dyDescent="0.15">
      <c r="B240" s="385"/>
      <c r="C240" s="385"/>
      <c r="D240" s="385"/>
      <c r="E240" s="387"/>
      <c r="F240" s="66" t="s">
        <v>767</v>
      </c>
      <c r="G240" s="67" t="s">
        <v>57</v>
      </c>
      <c r="H240" s="67" t="s">
        <v>57</v>
      </c>
      <c r="I240" s="391"/>
      <c r="J240" s="391"/>
    </row>
    <row r="241" spans="1:10" ht="12" x14ac:dyDescent="0.15">
      <c r="B241" s="385"/>
      <c r="C241" s="385"/>
      <c r="D241" s="385"/>
      <c r="E241" s="387"/>
      <c r="F241" s="66" t="s">
        <v>768</v>
      </c>
      <c r="G241" s="67" t="s">
        <v>57</v>
      </c>
      <c r="H241" s="67" t="s">
        <v>57</v>
      </c>
      <c r="I241" s="391"/>
      <c r="J241" s="391"/>
    </row>
    <row r="242" spans="1:10" ht="12" x14ac:dyDescent="0.15">
      <c r="B242" s="385"/>
      <c r="C242" s="385"/>
      <c r="D242" s="385"/>
      <c r="E242" s="387"/>
      <c r="F242" s="66" t="s">
        <v>769</v>
      </c>
      <c r="G242" s="67" t="s">
        <v>57</v>
      </c>
      <c r="H242" s="67" t="s">
        <v>57</v>
      </c>
      <c r="I242" s="391"/>
      <c r="J242" s="391"/>
    </row>
    <row r="243" spans="1:10" ht="12" x14ac:dyDescent="0.15">
      <c r="B243" s="385"/>
      <c r="C243" s="385"/>
      <c r="D243" s="385" t="s">
        <v>765</v>
      </c>
      <c r="E243" s="387" t="s">
        <v>763</v>
      </c>
      <c r="F243" s="66" t="s">
        <v>766</v>
      </c>
      <c r="G243" s="67" t="s">
        <v>57</v>
      </c>
      <c r="H243" s="67" t="s">
        <v>57</v>
      </c>
      <c r="I243" s="391"/>
      <c r="J243" s="391"/>
    </row>
    <row r="244" spans="1:10" ht="12" x14ac:dyDescent="0.15">
      <c r="B244" s="385"/>
      <c r="C244" s="385"/>
      <c r="D244" s="385"/>
      <c r="E244" s="387"/>
      <c r="F244" s="66" t="s">
        <v>767</v>
      </c>
      <c r="G244" s="67" t="s">
        <v>57</v>
      </c>
      <c r="H244" s="67" t="s">
        <v>57</v>
      </c>
      <c r="I244" s="391"/>
      <c r="J244" s="391"/>
    </row>
    <row r="245" spans="1:10" ht="12" x14ac:dyDescent="0.15">
      <c r="B245" s="385"/>
      <c r="C245" s="385"/>
      <c r="D245" s="385"/>
      <c r="E245" s="387"/>
      <c r="F245" s="66" t="s">
        <v>768</v>
      </c>
      <c r="G245" s="67" t="s">
        <v>57</v>
      </c>
      <c r="H245" s="67" t="s">
        <v>57</v>
      </c>
      <c r="I245" s="391"/>
      <c r="J245" s="391"/>
    </row>
    <row r="246" spans="1:10" ht="12" x14ac:dyDescent="0.15">
      <c r="B246" s="385"/>
      <c r="C246" s="385"/>
      <c r="D246" s="385"/>
      <c r="E246" s="387"/>
      <c r="F246" s="66" t="s">
        <v>769</v>
      </c>
      <c r="G246" s="67" t="s">
        <v>57</v>
      </c>
      <c r="H246" s="67" t="s">
        <v>57</v>
      </c>
      <c r="I246" s="392"/>
      <c r="J246" s="392"/>
    </row>
    <row r="248" spans="1:10" ht="12" x14ac:dyDescent="0.15">
      <c r="A248" s="71"/>
      <c r="B248" s="135" t="s">
        <v>70</v>
      </c>
    </row>
    <row r="249" spans="1:10" ht="12" x14ac:dyDescent="0.15">
      <c r="B249" s="385" t="s">
        <v>748</v>
      </c>
      <c r="C249" s="385"/>
      <c r="D249" s="386" t="s">
        <v>749</v>
      </c>
      <c r="E249" s="386" t="s">
        <v>750</v>
      </c>
      <c r="F249" s="386" t="s">
        <v>751</v>
      </c>
      <c r="G249" s="386" t="s">
        <v>752</v>
      </c>
      <c r="H249" s="386"/>
      <c r="I249" s="388" t="s">
        <v>753</v>
      </c>
      <c r="J249" s="389"/>
    </row>
    <row r="250" spans="1:10" ht="12" x14ac:dyDescent="0.15">
      <c r="B250" s="385"/>
      <c r="C250" s="385"/>
      <c r="D250" s="386"/>
      <c r="E250" s="386"/>
      <c r="F250" s="386"/>
      <c r="G250" s="65" t="s">
        <v>754</v>
      </c>
      <c r="H250" s="65" t="s">
        <v>755</v>
      </c>
      <c r="I250" s="65" t="s">
        <v>754</v>
      </c>
      <c r="J250" s="65" t="s">
        <v>755</v>
      </c>
    </row>
    <row r="251" spans="1:10" ht="12" x14ac:dyDescent="0.15">
      <c r="B251" s="385"/>
      <c r="C251" s="385"/>
      <c r="D251" s="385" t="s">
        <v>756</v>
      </c>
      <c r="E251" s="387" t="s">
        <v>757</v>
      </c>
      <c r="F251" s="66" t="s">
        <v>758</v>
      </c>
      <c r="G251" s="67" t="s">
        <v>57</v>
      </c>
      <c r="H251" s="67" t="s">
        <v>57</v>
      </c>
      <c r="I251" s="390" t="s">
        <v>57</v>
      </c>
      <c r="J251" s="390" t="s">
        <v>57</v>
      </c>
    </row>
    <row r="252" spans="1:10" ht="12" x14ac:dyDescent="0.15">
      <c r="B252" s="385"/>
      <c r="C252" s="385"/>
      <c r="D252" s="385"/>
      <c r="E252" s="387"/>
      <c r="F252" s="66" t="s">
        <v>759</v>
      </c>
      <c r="G252" s="67" t="s">
        <v>57</v>
      </c>
      <c r="H252" s="67" t="s">
        <v>57</v>
      </c>
      <c r="I252" s="391"/>
      <c r="J252" s="391"/>
    </row>
    <row r="253" spans="1:10" ht="12" x14ac:dyDescent="0.15">
      <c r="B253" s="385"/>
      <c r="C253" s="385"/>
      <c r="D253" s="385"/>
      <c r="E253" s="387"/>
      <c r="F253" s="66" t="s">
        <v>760</v>
      </c>
      <c r="G253" s="67" t="s">
        <v>57</v>
      </c>
      <c r="H253" s="67" t="s">
        <v>57</v>
      </c>
      <c r="I253" s="391"/>
      <c r="J253" s="391"/>
    </row>
    <row r="254" spans="1:10" ht="12" x14ac:dyDescent="0.15">
      <c r="B254" s="385"/>
      <c r="C254" s="385"/>
      <c r="D254" s="385"/>
      <c r="E254" s="387"/>
      <c r="F254" s="66" t="s">
        <v>761</v>
      </c>
      <c r="G254" s="67" t="s">
        <v>57</v>
      </c>
      <c r="H254" s="67" t="s">
        <v>57</v>
      </c>
      <c r="I254" s="391"/>
      <c r="J254" s="391"/>
    </row>
    <row r="255" spans="1:10" ht="12" x14ac:dyDescent="0.15">
      <c r="B255" s="385"/>
      <c r="C255" s="385"/>
      <c r="D255" s="385" t="s">
        <v>762</v>
      </c>
      <c r="E255" s="387" t="s">
        <v>763</v>
      </c>
      <c r="F255" s="66" t="s">
        <v>758</v>
      </c>
      <c r="G255" s="67" t="s">
        <v>57</v>
      </c>
      <c r="H255" s="67" t="s">
        <v>57</v>
      </c>
      <c r="I255" s="391"/>
      <c r="J255" s="391"/>
    </row>
    <row r="256" spans="1:10" ht="12" x14ac:dyDescent="0.15">
      <c r="B256" s="385"/>
      <c r="C256" s="385"/>
      <c r="D256" s="385"/>
      <c r="E256" s="387"/>
      <c r="F256" s="66" t="s">
        <v>759</v>
      </c>
      <c r="G256" s="67" t="s">
        <v>57</v>
      </c>
      <c r="H256" s="67" t="s">
        <v>57</v>
      </c>
      <c r="I256" s="391"/>
      <c r="J256" s="391"/>
    </row>
    <row r="257" spans="1:10" ht="12" x14ac:dyDescent="0.15">
      <c r="B257" s="385"/>
      <c r="C257" s="385"/>
      <c r="D257" s="385"/>
      <c r="E257" s="387"/>
      <c r="F257" s="66" t="s">
        <v>760</v>
      </c>
      <c r="G257" s="67" t="s">
        <v>57</v>
      </c>
      <c r="H257" s="67" t="s">
        <v>57</v>
      </c>
      <c r="I257" s="391"/>
      <c r="J257" s="391"/>
    </row>
    <row r="258" spans="1:10" ht="12" x14ac:dyDescent="0.15">
      <c r="B258" s="385"/>
      <c r="C258" s="385"/>
      <c r="D258" s="385"/>
      <c r="E258" s="387"/>
      <c r="F258" s="66" t="s">
        <v>761</v>
      </c>
      <c r="G258" s="67" t="s">
        <v>57</v>
      </c>
      <c r="H258" s="67" t="s">
        <v>57</v>
      </c>
      <c r="I258" s="391"/>
      <c r="J258" s="391"/>
    </row>
    <row r="259" spans="1:10" ht="12" x14ac:dyDescent="0.15">
      <c r="B259" s="385"/>
      <c r="C259" s="385"/>
      <c r="D259" s="385" t="s">
        <v>765</v>
      </c>
      <c r="E259" s="387" t="s">
        <v>757</v>
      </c>
      <c r="F259" s="66" t="s">
        <v>766</v>
      </c>
      <c r="G259" s="67" t="s">
        <v>57</v>
      </c>
      <c r="H259" s="67" t="s">
        <v>57</v>
      </c>
      <c r="I259" s="391"/>
      <c r="J259" s="391"/>
    </row>
    <row r="260" spans="1:10" ht="12" x14ac:dyDescent="0.15">
      <c r="B260" s="385"/>
      <c r="C260" s="385"/>
      <c r="D260" s="385"/>
      <c r="E260" s="387"/>
      <c r="F260" s="66" t="s">
        <v>767</v>
      </c>
      <c r="G260" s="67" t="s">
        <v>57</v>
      </c>
      <c r="H260" s="67" t="s">
        <v>57</v>
      </c>
      <c r="I260" s="391"/>
      <c r="J260" s="391"/>
    </row>
    <row r="261" spans="1:10" ht="12" x14ac:dyDescent="0.15">
      <c r="B261" s="385"/>
      <c r="C261" s="385"/>
      <c r="D261" s="385"/>
      <c r="E261" s="387"/>
      <c r="F261" s="66" t="s">
        <v>768</v>
      </c>
      <c r="G261" s="67" t="s">
        <v>57</v>
      </c>
      <c r="H261" s="67" t="s">
        <v>57</v>
      </c>
      <c r="I261" s="391"/>
      <c r="J261" s="391"/>
    </row>
    <row r="262" spans="1:10" ht="12" x14ac:dyDescent="0.15">
      <c r="B262" s="385"/>
      <c r="C262" s="385"/>
      <c r="D262" s="385"/>
      <c r="E262" s="387"/>
      <c r="F262" s="66" t="s">
        <v>769</v>
      </c>
      <c r="G262" s="67" t="s">
        <v>57</v>
      </c>
      <c r="H262" s="67" t="s">
        <v>57</v>
      </c>
      <c r="I262" s="391"/>
      <c r="J262" s="391"/>
    </row>
    <row r="263" spans="1:10" ht="12" x14ac:dyDescent="0.15">
      <c r="B263" s="385"/>
      <c r="C263" s="385"/>
      <c r="D263" s="385" t="s">
        <v>765</v>
      </c>
      <c r="E263" s="387" t="s">
        <v>763</v>
      </c>
      <c r="F263" s="66" t="s">
        <v>766</v>
      </c>
      <c r="G263" s="67" t="s">
        <v>57</v>
      </c>
      <c r="H263" s="67" t="s">
        <v>57</v>
      </c>
      <c r="I263" s="391"/>
      <c r="J263" s="391"/>
    </row>
    <row r="264" spans="1:10" ht="12" x14ac:dyDescent="0.15">
      <c r="B264" s="385"/>
      <c r="C264" s="385"/>
      <c r="D264" s="385"/>
      <c r="E264" s="387"/>
      <c r="F264" s="66" t="s">
        <v>767</v>
      </c>
      <c r="G264" s="67" t="s">
        <v>57</v>
      </c>
      <c r="H264" s="67" t="s">
        <v>57</v>
      </c>
      <c r="I264" s="391"/>
      <c r="J264" s="391"/>
    </row>
    <row r="265" spans="1:10" ht="12" x14ac:dyDescent="0.15">
      <c r="B265" s="385"/>
      <c r="C265" s="385"/>
      <c r="D265" s="385"/>
      <c r="E265" s="387"/>
      <c r="F265" s="66" t="s">
        <v>768</v>
      </c>
      <c r="G265" s="67" t="s">
        <v>57</v>
      </c>
      <c r="H265" s="67" t="s">
        <v>57</v>
      </c>
      <c r="I265" s="391"/>
      <c r="J265" s="391"/>
    </row>
    <row r="266" spans="1:10" ht="12" x14ac:dyDescent="0.15">
      <c r="B266" s="385"/>
      <c r="C266" s="385"/>
      <c r="D266" s="385"/>
      <c r="E266" s="387"/>
      <c r="F266" s="66" t="s">
        <v>769</v>
      </c>
      <c r="G266" s="67" t="s">
        <v>57</v>
      </c>
      <c r="H266" s="67" t="s">
        <v>57</v>
      </c>
      <c r="I266" s="392"/>
      <c r="J266" s="392"/>
    </row>
    <row r="268" spans="1:10" ht="12" x14ac:dyDescent="0.15">
      <c r="A268" s="71"/>
      <c r="B268" s="135" t="s">
        <v>81</v>
      </c>
    </row>
    <row r="269" spans="1:10" ht="12" x14ac:dyDescent="0.15">
      <c r="B269" s="385" t="s">
        <v>748</v>
      </c>
      <c r="C269" s="385"/>
      <c r="D269" s="386" t="s">
        <v>749</v>
      </c>
      <c r="E269" s="386" t="s">
        <v>750</v>
      </c>
      <c r="F269" s="386" t="s">
        <v>751</v>
      </c>
      <c r="G269" s="386" t="s">
        <v>752</v>
      </c>
      <c r="H269" s="386"/>
      <c r="I269" s="388" t="s">
        <v>753</v>
      </c>
      <c r="J269" s="389"/>
    </row>
    <row r="270" spans="1:10" ht="12" x14ac:dyDescent="0.15">
      <c r="B270" s="385"/>
      <c r="C270" s="385"/>
      <c r="D270" s="386"/>
      <c r="E270" s="386"/>
      <c r="F270" s="386"/>
      <c r="G270" s="65" t="s">
        <v>754</v>
      </c>
      <c r="H270" s="65" t="s">
        <v>755</v>
      </c>
      <c r="I270" s="65" t="s">
        <v>757</v>
      </c>
      <c r="J270" s="65" t="s">
        <v>772</v>
      </c>
    </row>
    <row r="271" spans="1:10" ht="12" x14ac:dyDescent="0.15">
      <c r="B271" s="385"/>
      <c r="C271" s="385"/>
      <c r="D271" s="385" t="s">
        <v>756</v>
      </c>
      <c r="E271" s="387" t="s">
        <v>757</v>
      </c>
      <c r="F271" s="394" t="s">
        <v>57</v>
      </c>
      <c r="G271" s="390">
        <v>1047</v>
      </c>
      <c r="H271" s="393" t="s">
        <v>770</v>
      </c>
      <c r="I271" s="390">
        <v>56226741084</v>
      </c>
      <c r="J271" s="390">
        <v>9541198351</v>
      </c>
    </row>
    <row r="272" spans="1:10" ht="12" x14ac:dyDescent="0.15">
      <c r="B272" s="385"/>
      <c r="C272" s="385"/>
      <c r="D272" s="385"/>
      <c r="E272" s="387"/>
      <c r="F272" s="395"/>
      <c r="G272" s="391"/>
      <c r="H272" s="391"/>
      <c r="I272" s="391"/>
      <c r="J272" s="391"/>
    </row>
    <row r="273" spans="1:12" ht="12" x14ac:dyDescent="0.15">
      <c r="B273" s="385"/>
      <c r="C273" s="385"/>
      <c r="D273" s="385"/>
      <c r="E273" s="387"/>
      <c r="F273" s="395"/>
      <c r="G273" s="391"/>
      <c r="H273" s="391"/>
      <c r="I273" s="391"/>
      <c r="J273" s="391"/>
    </row>
    <row r="274" spans="1:12" ht="12" x14ac:dyDescent="0.15">
      <c r="B274" s="385"/>
      <c r="C274" s="385"/>
      <c r="D274" s="385"/>
      <c r="E274" s="387"/>
      <c r="F274" s="396"/>
      <c r="G274" s="392"/>
      <c r="H274" s="392"/>
      <c r="I274" s="391"/>
      <c r="J274" s="391"/>
    </row>
    <row r="275" spans="1:12" ht="12" x14ac:dyDescent="0.15">
      <c r="B275" s="385"/>
      <c r="C275" s="385"/>
      <c r="D275" s="385" t="s">
        <v>762</v>
      </c>
      <c r="E275" s="387" t="s">
        <v>763</v>
      </c>
      <c r="F275" s="394" t="s">
        <v>57</v>
      </c>
      <c r="G275" s="393">
        <v>137</v>
      </c>
      <c r="H275" s="393">
        <v>31</v>
      </c>
      <c r="I275" s="391"/>
      <c r="J275" s="391"/>
    </row>
    <row r="276" spans="1:12" ht="12" x14ac:dyDescent="0.15">
      <c r="B276" s="385"/>
      <c r="C276" s="385"/>
      <c r="D276" s="385"/>
      <c r="E276" s="387"/>
      <c r="F276" s="395"/>
      <c r="G276" s="391"/>
      <c r="H276" s="391"/>
      <c r="I276" s="391"/>
      <c r="J276" s="391"/>
    </row>
    <row r="277" spans="1:12" ht="12" x14ac:dyDescent="0.15">
      <c r="B277" s="385"/>
      <c r="C277" s="385"/>
      <c r="D277" s="385"/>
      <c r="E277" s="387"/>
      <c r="F277" s="395"/>
      <c r="G277" s="391"/>
      <c r="H277" s="391"/>
      <c r="I277" s="391"/>
      <c r="J277" s="391"/>
    </row>
    <row r="278" spans="1:12" ht="12" x14ac:dyDescent="0.15">
      <c r="B278" s="385"/>
      <c r="C278" s="385"/>
      <c r="D278" s="385"/>
      <c r="E278" s="387"/>
      <c r="F278" s="396"/>
      <c r="G278" s="392"/>
      <c r="H278" s="392"/>
      <c r="I278" s="391"/>
      <c r="J278" s="391"/>
    </row>
    <row r="279" spans="1:12" ht="12" x14ac:dyDescent="0.15">
      <c r="B279" s="385"/>
      <c r="C279" s="385"/>
      <c r="D279" s="385" t="s">
        <v>765</v>
      </c>
      <c r="E279" s="387" t="s">
        <v>757</v>
      </c>
      <c r="F279" s="394" t="s">
        <v>57</v>
      </c>
      <c r="G279" s="393">
        <v>55</v>
      </c>
      <c r="H279" s="393" t="s">
        <v>770</v>
      </c>
      <c r="I279" s="391"/>
      <c r="J279" s="391"/>
    </row>
    <row r="280" spans="1:12" ht="12" x14ac:dyDescent="0.15">
      <c r="B280" s="385"/>
      <c r="C280" s="385"/>
      <c r="D280" s="385"/>
      <c r="E280" s="387"/>
      <c r="F280" s="395"/>
      <c r="G280" s="391"/>
      <c r="H280" s="391"/>
      <c r="I280" s="391"/>
      <c r="J280" s="391"/>
    </row>
    <row r="281" spans="1:12" ht="12" x14ac:dyDescent="0.15">
      <c r="B281" s="385"/>
      <c r="C281" s="385"/>
      <c r="D281" s="385"/>
      <c r="E281" s="387"/>
      <c r="F281" s="395"/>
      <c r="G281" s="391"/>
      <c r="H281" s="391"/>
      <c r="I281" s="391"/>
      <c r="J281" s="391"/>
    </row>
    <row r="282" spans="1:12" ht="12" x14ac:dyDescent="0.15">
      <c r="B282" s="385"/>
      <c r="C282" s="385"/>
      <c r="D282" s="385"/>
      <c r="E282" s="387"/>
      <c r="F282" s="396"/>
      <c r="G282" s="392"/>
      <c r="H282" s="392"/>
      <c r="I282" s="391"/>
      <c r="J282" s="391"/>
    </row>
    <row r="283" spans="1:12" ht="12" x14ac:dyDescent="0.15">
      <c r="B283" s="385"/>
      <c r="C283" s="385"/>
      <c r="D283" s="385" t="s">
        <v>765</v>
      </c>
      <c r="E283" s="387" t="s">
        <v>763</v>
      </c>
      <c r="F283" s="394" t="s">
        <v>57</v>
      </c>
      <c r="G283" s="393">
        <v>10</v>
      </c>
      <c r="H283" s="393">
        <v>9</v>
      </c>
      <c r="I283" s="391"/>
      <c r="J283" s="391"/>
    </row>
    <row r="284" spans="1:12" ht="12" x14ac:dyDescent="0.15">
      <c r="B284" s="385"/>
      <c r="C284" s="385"/>
      <c r="D284" s="385"/>
      <c r="E284" s="387"/>
      <c r="F284" s="395"/>
      <c r="G284" s="391"/>
      <c r="H284" s="391"/>
      <c r="I284" s="391"/>
      <c r="J284" s="391"/>
      <c r="L284" s="72"/>
    </row>
    <row r="285" spans="1:12" ht="12" x14ac:dyDescent="0.15">
      <c r="B285" s="385"/>
      <c r="C285" s="385"/>
      <c r="D285" s="385"/>
      <c r="E285" s="387"/>
      <c r="F285" s="395"/>
      <c r="G285" s="391"/>
      <c r="H285" s="391"/>
      <c r="I285" s="391"/>
      <c r="J285" s="391"/>
    </row>
    <row r="286" spans="1:12" ht="12" x14ac:dyDescent="0.15">
      <c r="B286" s="385"/>
      <c r="C286" s="385"/>
      <c r="D286" s="385"/>
      <c r="E286" s="387"/>
      <c r="F286" s="397"/>
      <c r="G286" s="392"/>
      <c r="H286" s="392"/>
      <c r="I286" s="392"/>
      <c r="J286" s="392"/>
    </row>
    <row r="288" spans="1:12" ht="12" x14ac:dyDescent="0.15">
      <c r="A288" s="71"/>
      <c r="B288" s="135" t="s">
        <v>86</v>
      </c>
    </row>
    <row r="289" spans="2:10" ht="12" x14ac:dyDescent="0.15">
      <c r="B289" s="385" t="s">
        <v>748</v>
      </c>
      <c r="C289" s="385"/>
      <c r="D289" s="386" t="s">
        <v>749</v>
      </c>
      <c r="E289" s="386" t="s">
        <v>750</v>
      </c>
      <c r="F289" s="386" t="s">
        <v>751</v>
      </c>
      <c r="G289" s="386" t="s">
        <v>752</v>
      </c>
      <c r="H289" s="386"/>
      <c r="I289" s="404" t="s">
        <v>753</v>
      </c>
      <c r="J289" s="404"/>
    </row>
    <row r="290" spans="2:10" ht="12" x14ac:dyDescent="0.15">
      <c r="B290" s="385"/>
      <c r="C290" s="385"/>
      <c r="D290" s="386"/>
      <c r="E290" s="386"/>
      <c r="F290" s="386"/>
      <c r="G290" s="65" t="s">
        <v>754</v>
      </c>
      <c r="H290" s="65" t="s">
        <v>755</v>
      </c>
      <c r="I290" s="405"/>
      <c r="J290" s="405"/>
    </row>
    <row r="291" spans="2:10" ht="12" x14ac:dyDescent="0.15">
      <c r="B291" s="385"/>
      <c r="C291" s="385"/>
      <c r="D291" s="385" t="s">
        <v>756</v>
      </c>
      <c r="E291" s="387" t="s">
        <v>757</v>
      </c>
      <c r="F291" s="394" t="s">
        <v>57</v>
      </c>
      <c r="G291" s="390">
        <v>871</v>
      </c>
      <c r="H291" s="393">
        <v>2</v>
      </c>
      <c r="I291" s="406">
        <v>11.47</v>
      </c>
      <c r="J291" s="407"/>
    </row>
    <row r="292" spans="2:10" ht="12" x14ac:dyDescent="0.15">
      <c r="B292" s="385"/>
      <c r="C292" s="385"/>
      <c r="D292" s="385"/>
      <c r="E292" s="387"/>
      <c r="F292" s="395"/>
      <c r="G292" s="391"/>
      <c r="H292" s="391"/>
      <c r="I292" s="408"/>
      <c r="J292" s="409"/>
    </row>
    <row r="293" spans="2:10" ht="12" x14ac:dyDescent="0.15">
      <c r="B293" s="385"/>
      <c r="C293" s="385"/>
      <c r="D293" s="385"/>
      <c r="E293" s="387"/>
      <c r="F293" s="395"/>
      <c r="G293" s="391"/>
      <c r="H293" s="391"/>
      <c r="I293" s="408"/>
      <c r="J293" s="409"/>
    </row>
    <row r="294" spans="2:10" ht="12" x14ac:dyDescent="0.15">
      <c r="B294" s="385"/>
      <c r="C294" s="385"/>
      <c r="D294" s="385"/>
      <c r="E294" s="387"/>
      <c r="F294" s="396"/>
      <c r="G294" s="392"/>
      <c r="H294" s="392"/>
      <c r="I294" s="408"/>
      <c r="J294" s="409"/>
    </row>
    <row r="295" spans="2:10" ht="12" x14ac:dyDescent="0.15">
      <c r="B295" s="385"/>
      <c r="C295" s="385"/>
      <c r="D295" s="385" t="s">
        <v>762</v>
      </c>
      <c r="E295" s="387" t="s">
        <v>763</v>
      </c>
      <c r="F295" s="394" t="s">
        <v>57</v>
      </c>
      <c r="G295" s="393" t="s">
        <v>770</v>
      </c>
      <c r="H295" s="393" t="s">
        <v>770</v>
      </c>
      <c r="I295" s="408"/>
      <c r="J295" s="409"/>
    </row>
    <row r="296" spans="2:10" ht="12" x14ac:dyDescent="0.15">
      <c r="B296" s="385"/>
      <c r="C296" s="385"/>
      <c r="D296" s="385"/>
      <c r="E296" s="387"/>
      <c r="F296" s="395"/>
      <c r="G296" s="391"/>
      <c r="H296" s="391"/>
      <c r="I296" s="408"/>
      <c r="J296" s="409"/>
    </row>
    <row r="297" spans="2:10" ht="12" x14ac:dyDescent="0.15">
      <c r="B297" s="385"/>
      <c r="C297" s="385"/>
      <c r="D297" s="385"/>
      <c r="E297" s="387"/>
      <c r="F297" s="395"/>
      <c r="G297" s="391"/>
      <c r="H297" s="391"/>
      <c r="I297" s="408"/>
      <c r="J297" s="409"/>
    </row>
    <row r="298" spans="2:10" ht="12" x14ac:dyDescent="0.15">
      <c r="B298" s="385"/>
      <c r="C298" s="385"/>
      <c r="D298" s="385"/>
      <c r="E298" s="387"/>
      <c r="F298" s="396"/>
      <c r="G298" s="392"/>
      <c r="H298" s="392"/>
      <c r="I298" s="408"/>
      <c r="J298" s="409"/>
    </row>
    <row r="299" spans="2:10" ht="12" x14ac:dyDescent="0.15">
      <c r="B299" s="385"/>
      <c r="C299" s="385"/>
      <c r="D299" s="385" t="s">
        <v>765</v>
      </c>
      <c r="E299" s="387" t="s">
        <v>757</v>
      </c>
      <c r="F299" s="394" t="s">
        <v>57</v>
      </c>
      <c r="G299" s="393" t="s">
        <v>770</v>
      </c>
      <c r="H299" s="393" t="s">
        <v>770</v>
      </c>
      <c r="I299" s="408"/>
      <c r="J299" s="409"/>
    </row>
    <row r="300" spans="2:10" ht="12" x14ac:dyDescent="0.15">
      <c r="B300" s="385"/>
      <c r="C300" s="385"/>
      <c r="D300" s="385"/>
      <c r="E300" s="387"/>
      <c r="F300" s="395"/>
      <c r="G300" s="391"/>
      <c r="H300" s="391"/>
      <c r="I300" s="408"/>
      <c r="J300" s="409"/>
    </row>
    <row r="301" spans="2:10" ht="12" x14ac:dyDescent="0.15">
      <c r="B301" s="385"/>
      <c r="C301" s="385"/>
      <c r="D301" s="385"/>
      <c r="E301" s="387"/>
      <c r="F301" s="395"/>
      <c r="G301" s="391"/>
      <c r="H301" s="391"/>
      <c r="I301" s="408"/>
      <c r="J301" s="409"/>
    </row>
    <row r="302" spans="2:10" ht="12" x14ac:dyDescent="0.15">
      <c r="B302" s="385"/>
      <c r="C302" s="385"/>
      <c r="D302" s="385"/>
      <c r="E302" s="387"/>
      <c r="F302" s="396"/>
      <c r="G302" s="392"/>
      <c r="H302" s="392"/>
      <c r="I302" s="408"/>
      <c r="J302" s="409"/>
    </row>
    <row r="303" spans="2:10" ht="12" x14ac:dyDescent="0.15">
      <c r="B303" s="385"/>
      <c r="C303" s="385"/>
      <c r="D303" s="385" t="s">
        <v>765</v>
      </c>
      <c r="E303" s="387" t="s">
        <v>763</v>
      </c>
      <c r="F303" s="394" t="s">
        <v>57</v>
      </c>
      <c r="G303" s="393" t="s">
        <v>770</v>
      </c>
      <c r="H303" s="393" t="s">
        <v>770</v>
      </c>
      <c r="I303" s="408"/>
      <c r="J303" s="409"/>
    </row>
    <row r="304" spans="2:10" ht="12" x14ac:dyDescent="0.15">
      <c r="B304" s="385"/>
      <c r="C304" s="385"/>
      <c r="D304" s="385"/>
      <c r="E304" s="387"/>
      <c r="F304" s="395"/>
      <c r="G304" s="391"/>
      <c r="H304" s="391"/>
      <c r="I304" s="408"/>
      <c r="J304" s="409"/>
    </row>
    <row r="305" spans="2:10" ht="12" x14ac:dyDescent="0.15">
      <c r="B305" s="385"/>
      <c r="C305" s="385"/>
      <c r="D305" s="385"/>
      <c r="E305" s="387"/>
      <c r="F305" s="395"/>
      <c r="G305" s="391"/>
      <c r="H305" s="391"/>
      <c r="I305" s="408"/>
      <c r="J305" s="409"/>
    </row>
    <row r="306" spans="2:10" ht="12" x14ac:dyDescent="0.15">
      <c r="B306" s="385"/>
      <c r="C306" s="385"/>
      <c r="D306" s="385"/>
      <c r="E306" s="387"/>
      <c r="F306" s="397"/>
      <c r="G306" s="392"/>
      <c r="H306" s="392"/>
      <c r="I306" s="410"/>
      <c r="J306" s="411"/>
    </row>
  </sheetData>
  <mergeCells count="298">
    <mergeCell ref="I291:J306"/>
    <mergeCell ref="I289:J290"/>
    <mergeCell ref="F299:F302"/>
    <mergeCell ref="G299:G302"/>
    <mergeCell ref="H299:H302"/>
    <mergeCell ref="D303:D306"/>
    <mergeCell ref="E303:E306"/>
    <mergeCell ref="F303:F306"/>
    <mergeCell ref="G303:G306"/>
    <mergeCell ref="H303:H306"/>
    <mergeCell ref="H291:H294"/>
    <mergeCell ref="D295:D298"/>
    <mergeCell ref="E295:E298"/>
    <mergeCell ref="F295:F298"/>
    <mergeCell ref="G295:G298"/>
    <mergeCell ref="H295:H298"/>
    <mergeCell ref="D299:D302"/>
    <mergeCell ref="E299:E302"/>
    <mergeCell ref="H279:H282"/>
    <mergeCell ref="D283:D286"/>
    <mergeCell ref="E283:E286"/>
    <mergeCell ref="F283:F286"/>
    <mergeCell ref="G283:G286"/>
    <mergeCell ref="H283:H286"/>
    <mergeCell ref="H271:H274"/>
    <mergeCell ref="B289:C306"/>
    <mergeCell ref="D289:D290"/>
    <mergeCell ref="E289:E290"/>
    <mergeCell ref="F289:F290"/>
    <mergeCell ref="G289:H289"/>
    <mergeCell ref="D291:D294"/>
    <mergeCell ref="E291:E294"/>
    <mergeCell ref="F291:F294"/>
    <mergeCell ref="G291:G294"/>
    <mergeCell ref="B249:C266"/>
    <mergeCell ref="D249:D250"/>
    <mergeCell ref="E249:E250"/>
    <mergeCell ref="B269:C286"/>
    <mergeCell ref="D269:D270"/>
    <mergeCell ref="E269:E270"/>
    <mergeCell ref="F269:F270"/>
    <mergeCell ref="G269:H269"/>
    <mergeCell ref="I269:J269"/>
    <mergeCell ref="D271:D274"/>
    <mergeCell ref="E271:E274"/>
    <mergeCell ref="F271:F274"/>
    <mergeCell ref="G271:G274"/>
    <mergeCell ref="I271:I286"/>
    <mergeCell ref="J271:J286"/>
    <mergeCell ref="D275:D278"/>
    <mergeCell ref="E275:E278"/>
    <mergeCell ref="F275:F278"/>
    <mergeCell ref="G275:G278"/>
    <mergeCell ref="H275:H278"/>
    <mergeCell ref="D279:D282"/>
    <mergeCell ref="E279:E282"/>
    <mergeCell ref="F279:F282"/>
    <mergeCell ref="G279:G282"/>
    <mergeCell ref="F249:F250"/>
    <mergeCell ref="G249:H249"/>
    <mergeCell ref="I249:J249"/>
    <mergeCell ref="D251:D254"/>
    <mergeCell ref="E251:E254"/>
    <mergeCell ref="I251:I266"/>
    <mergeCell ref="J251:J266"/>
    <mergeCell ref="D235:D238"/>
    <mergeCell ref="E235:E238"/>
    <mergeCell ref="D239:D242"/>
    <mergeCell ref="E239:E242"/>
    <mergeCell ref="D243:D246"/>
    <mergeCell ref="E243:E246"/>
    <mergeCell ref="D255:D258"/>
    <mergeCell ref="E255:E258"/>
    <mergeCell ref="D259:D262"/>
    <mergeCell ref="E259:E262"/>
    <mergeCell ref="D263:D266"/>
    <mergeCell ref="E263:E266"/>
    <mergeCell ref="F208:F209"/>
    <mergeCell ref="G208:H208"/>
    <mergeCell ref="I208:J208"/>
    <mergeCell ref="D210:D213"/>
    <mergeCell ref="E210:E213"/>
    <mergeCell ref="I210:I225"/>
    <mergeCell ref="J210:J225"/>
    <mergeCell ref="D222:D225"/>
    <mergeCell ref="E222:E225"/>
    <mergeCell ref="B229:C246"/>
    <mergeCell ref="D229:D230"/>
    <mergeCell ref="E229:E230"/>
    <mergeCell ref="F229:F230"/>
    <mergeCell ref="G229:H229"/>
    <mergeCell ref="I229:J229"/>
    <mergeCell ref="D231:D234"/>
    <mergeCell ref="E231:E234"/>
    <mergeCell ref="I231:I246"/>
    <mergeCell ref="J231:J246"/>
    <mergeCell ref="D197:D200"/>
    <mergeCell ref="E197:E200"/>
    <mergeCell ref="D201:D204"/>
    <mergeCell ref="E201:E204"/>
    <mergeCell ref="D214:D217"/>
    <mergeCell ref="E214:E217"/>
    <mergeCell ref="D218:D221"/>
    <mergeCell ref="E218:E221"/>
    <mergeCell ref="B208:C225"/>
    <mergeCell ref="D208:D209"/>
    <mergeCell ref="E208:E209"/>
    <mergeCell ref="B166:C183"/>
    <mergeCell ref="D166:D167"/>
    <mergeCell ref="E166:E167"/>
    <mergeCell ref="B187:C204"/>
    <mergeCell ref="D187:D188"/>
    <mergeCell ref="E187:E188"/>
    <mergeCell ref="F187:F188"/>
    <mergeCell ref="G187:H187"/>
    <mergeCell ref="I187:J187"/>
    <mergeCell ref="D189:D192"/>
    <mergeCell ref="E189:E192"/>
    <mergeCell ref="I189:I204"/>
    <mergeCell ref="J189:J204"/>
    <mergeCell ref="F166:F167"/>
    <mergeCell ref="G166:H166"/>
    <mergeCell ref="I166:J166"/>
    <mergeCell ref="D168:D171"/>
    <mergeCell ref="E168:E171"/>
    <mergeCell ref="I168:I183"/>
    <mergeCell ref="J168:J183"/>
    <mergeCell ref="D180:D183"/>
    <mergeCell ref="E180:E183"/>
    <mergeCell ref="D193:D196"/>
    <mergeCell ref="E193:E196"/>
    <mergeCell ref="D151:D154"/>
    <mergeCell ref="E151:E154"/>
    <mergeCell ref="D155:D158"/>
    <mergeCell ref="E155:E158"/>
    <mergeCell ref="D159:D162"/>
    <mergeCell ref="E159:E162"/>
    <mergeCell ref="D172:D175"/>
    <mergeCell ref="E172:E175"/>
    <mergeCell ref="D176:D179"/>
    <mergeCell ref="E176:E179"/>
    <mergeCell ref="B124:C141"/>
    <mergeCell ref="D124:D125"/>
    <mergeCell ref="E124:E125"/>
    <mergeCell ref="B145:C162"/>
    <mergeCell ref="D145:D146"/>
    <mergeCell ref="E145:E146"/>
    <mergeCell ref="F145:F146"/>
    <mergeCell ref="G145:H145"/>
    <mergeCell ref="I145:J145"/>
    <mergeCell ref="D147:D150"/>
    <mergeCell ref="E147:E150"/>
    <mergeCell ref="I147:I162"/>
    <mergeCell ref="J147:J162"/>
    <mergeCell ref="F124:F125"/>
    <mergeCell ref="G124:H124"/>
    <mergeCell ref="I124:J124"/>
    <mergeCell ref="D126:D129"/>
    <mergeCell ref="E126:E129"/>
    <mergeCell ref="I126:I141"/>
    <mergeCell ref="J126:J141"/>
    <mergeCell ref="D134:D137"/>
    <mergeCell ref="E134:E137"/>
    <mergeCell ref="D138:D141"/>
    <mergeCell ref="E138:E141"/>
    <mergeCell ref="I106:I121"/>
    <mergeCell ref="J106:J121"/>
    <mergeCell ref="D110:D113"/>
    <mergeCell ref="E110:E113"/>
    <mergeCell ref="D114:D117"/>
    <mergeCell ref="E114:E117"/>
    <mergeCell ref="D118:D121"/>
    <mergeCell ref="E118:E121"/>
    <mergeCell ref="D130:D133"/>
    <mergeCell ref="E130:E133"/>
    <mergeCell ref="B64:C81"/>
    <mergeCell ref="D64:D65"/>
    <mergeCell ref="E64:E65"/>
    <mergeCell ref="F64:F65"/>
    <mergeCell ref="G64:H64"/>
    <mergeCell ref="I86:J101"/>
    <mergeCell ref="I84:J85"/>
    <mergeCell ref="B104:C121"/>
    <mergeCell ref="D104:D105"/>
    <mergeCell ref="E104:E105"/>
    <mergeCell ref="F104:F105"/>
    <mergeCell ref="G104:H104"/>
    <mergeCell ref="I104:J104"/>
    <mergeCell ref="D106:D109"/>
    <mergeCell ref="E106:E109"/>
    <mergeCell ref="F94:F97"/>
    <mergeCell ref="G94:G97"/>
    <mergeCell ref="H94:H97"/>
    <mergeCell ref="D98:D101"/>
    <mergeCell ref="E98:E101"/>
    <mergeCell ref="F98:F101"/>
    <mergeCell ref="G98:G101"/>
    <mergeCell ref="H98:H101"/>
    <mergeCell ref="H86:H89"/>
    <mergeCell ref="D94:D97"/>
    <mergeCell ref="E94:E97"/>
    <mergeCell ref="B84:C101"/>
    <mergeCell ref="D84:D85"/>
    <mergeCell ref="E84:E85"/>
    <mergeCell ref="F84:F85"/>
    <mergeCell ref="G84:H84"/>
    <mergeCell ref="D86:D89"/>
    <mergeCell ref="E86:E89"/>
    <mergeCell ref="F86:F89"/>
    <mergeCell ref="G86:G89"/>
    <mergeCell ref="D90:D93"/>
    <mergeCell ref="E90:E93"/>
    <mergeCell ref="F90:F93"/>
    <mergeCell ref="G90:G93"/>
    <mergeCell ref="H90:H93"/>
    <mergeCell ref="I64:J64"/>
    <mergeCell ref="D66:D69"/>
    <mergeCell ref="E66:E69"/>
    <mergeCell ref="F66:F69"/>
    <mergeCell ref="G66:G69"/>
    <mergeCell ref="I66:I81"/>
    <mergeCell ref="J66:J81"/>
    <mergeCell ref="D70:D73"/>
    <mergeCell ref="E70:E73"/>
    <mergeCell ref="F70:F73"/>
    <mergeCell ref="G70:G73"/>
    <mergeCell ref="H70:H73"/>
    <mergeCell ref="D74:D77"/>
    <mergeCell ref="E74:E77"/>
    <mergeCell ref="F74:F77"/>
    <mergeCell ref="G74:G77"/>
    <mergeCell ref="H74:H77"/>
    <mergeCell ref="D78:D81"/>
    <mergeCell ref="E78:E81"/>
    <mergeCell ref="F78:F81"/>
    <mergeCell ref="G78:G81"/>
    <mergeCell ref="H78:H81"/>
    <mergeCell ref="H66:H69"/>
    <mergeCell ref="I44:J44"/>
    <mergeCell ref="D46:D49"/>
    <mergeCell ref="E46:E49"/>
    <mergeCell ref="I46:I61"/>
    <mergeCell ref="J46:J61"/>
    <mergeCell ref="D50:D53"/>
    <mergeCell ref="E50:E53"/>
    <mergeCell ref="D54:D57"/>
    <mergeCell ref="E54:E57"/>
    <mergeCell ref="D58:D61"/>
    <mergeCell ref="B44:C61"/>
    <mergeCell ref="D44:D45"/>
    <mergeCell ref="E44:E45"/>
    <mergeCell ref="F44:F45"/>
    <mergeCell ref="G44:H44"/>
    <mergeCell ref="E58:E61"/>
    <mergeCell ref="F26:F29"/>
    <mergeCell ref="F30:F33"/>
    <mergeCell ref="F34:F37"/>
    <mergeCell ref="F38:F41"/>
    <mergeCell ref="G26:G29"/>
    <mergeCell ref="H26:H29"/>
    <mergeCell ref="G30:G33"/>
    <mergeCell ref="H30:H33"/>
    <mergeCell ref="G34:G37"/>
    <mergeCell ref="H34:H37"/>
    <mergeCell ref="D30:D33"/>
    <mergeCell ref="E30:E33"/>
    <mergeCell ref="D34:D37"/>
    <mergeCell ref="E34:E37"/>
    <mergeCell ref="D38:D41"/>
    <mergeCell ref="E38:E41"/>
    <mergeCell ref="B24:C41"/>
    <mergeCell ref="D24:D25"/>
    <mergeCell ref="E24:E25"/>
    <mergeCell ref="F24:F25"/>
    <mergeCell ref="G24:H24"/>
    <mergeCell ref="I24:J24"/>
    <mergeCell ref="D26:D29"/>
    <mergeCell ref="E26:E29"/>
    <mergeCell ref="I26:I41"/>
    <mergeCell ref="J26:J41"/>
    <mergeCell ref="G38:G41"/>
    <mergeCell ref="H38:H41"/>
    <mergeCell ref="B4:C21"/>
    <mergeCell ref="D4:D5"/>
    <mergeCell ref="E4:E5"/>
    <mergeCell ref="E14:E17"/>
    <mergeCell ref="D18:D21"/>
    <mergeCell ref="E18:E21"/>
    <mergeCell ref="F4:F5"/>
    <mergeCell ref="G4:H4"/>
    <mergeCell ref="I4:J4"/>
    <mergeCell ref="D6:D9"/>
    <mergeCell ref="E6:E9"/>
    <mergeCell ref="I6:I21"/>
    <mergeCell ref="J6:J21"/>
    <mergeCell ref="D10:D13"/>
    <mergeCell ref="E10:E13"/>
    <mergeCell ref="D14:D1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17F1F-5808-4AE8-A7B9-58890776259B}">
  <dimension ref="B1:L25"/>
  <sheetViews>
    <sheetView showGridLines="0" zoomScale="70" zoomScaleNormal="70" workbookViewId="0">
      <selection activeCell="C18" sqref="C18:C21"/>
    </sheetView>
  </sheetViews>
  <sheetFormatPr defaultColWidth="15.33203125" defaultRowHeight="13.5" x14ac:dyDescent="0.2"/>
  <cols>
    <col min="1" max="1" width="5.6484375" style="4" customWidth="1"/>
    <col min="2" max="2" width="6.05078125" style="64" customWidth="1"/>
    <col min="3" max="3" width="48.0234375" style="6" bestFit="1" customWidth="1"/>
    <col min="4" max="4" width="27.98046875" style="4" bestFit="1" customWidth="1"/>
    <col min="5" max="5" width="15.33203125" style="4"/>
    <col min="6" max="6" width="15.33203125" style="64"/>
    <col min="7" max="7" width="43.31640625" style="4" bestFit="1" customWidth="1"/>
    <col min="8" max="8" width="22.59765625" style="71" customWidth="1"/>
    <col min="9" max="9" width="23.9453125" style="64" customWidth="1"/>
    <col min="10" max="10" width="23.40625" style="64" bestFit="1" customWidth="1"/>
    <col min="11" max="16384" width="15.33203125" style="4"/>
  </cols>
  <sheetData>
    <row r="1" spans="2:10" ht="14.25" x14ac:dyDescent="0.15">
      <c r="B1" s="3" t="s">
        <v>4</v>
      </c>
    </row>
    <row r="3" spans="2:10" ht="21.75" x14ac:dyDescent="0.15">
      <c r="B3" s="418" t="s">
        <v>22</v>
      </c>
      <c r="C3" s="418" t="s">
        <v>23</v>
      </c>
      <c r="D3" s="418" t="s">
        <v>773</v>
      </c>
      <c r="E3" s="418" t="s">
        <v>774</v>
      </c>
      <c r="F3" s="418" t="s">
        <v>775</v>
      </c>
      <c r="G3" s="418" t="s">
        <v>776</v>
      </c>
      <c r="H3" s="149" t="s">
        <v>777</v>
      </c>
      <c r="I3" s="139" t="s">
        <v>778</v>
      </c>
      <c r="J3" s="418" t="s">
        <v>779</v>
      </c>
    </row>
    <row r="4" spans="2:10" ht="21.75" x14ac:dyDescent="0.15">
      <c r="B4" s="418"/>
      <c r="C4" s="418"/>
      <c r="D4" s="418"/>
      <c r="E4" s="418"/>
      <c r="F4" s="418"/>
      <c r="G4" s="418"/>
      <c r="H4" s="150" t="s">
        <v>780</v>
      </c>
      <c r="I4" s="115" t="s">
        <v>781</v>
      </c>
      <c r="J4" s="418"/>
    </row>
    <row r="5" spans="2:10" ht="12" x14ac:dyDescent="0.15">
      <c r="B5" s="141">
        <v>1</v>
      </c>
      <c r="C5" s="142" t="s">
        <v>28</v>
      </c>
      <c r="D5" s="143" t="s">
        <v>782</v>
      </c>
      <c r="E5" s="143" t="s">
        <v>783</v>
      </c>
      <c r="F5" s="141" t="s">
        <v>770</v>
      </c>
      <c r="G5" s="147" t="s">
        <v>784</v>
      </c>
      <c r="H5" s="151">
        <v>19761722735</v>
      </c>
      <c r="I5" s="141" t="s">
        <v>770</v>
      </c>
      <c r="J5" s="155" t="s">
        <v>785</v>
      </c>
    </row>
    <row r="6" spans="2:10" ht="12" x14ac:dyDescent="0.15">
      <c r="B6" s="419">
        <v>2</v>
      </c>
      <c r="C6" s="412" t="s">
        <v>32</v>
      </c>
      <c r="D6" s="144" t="s">
        <v>786</v>
      </c>
      <c r="E6" s="144" t="s">
        <v>787</v>
      </c>
      <c r="F6" s="145">
        <v>44197</v>
      </c>
      <c r="G6" s="144" t="s">
        <v>788</v>
      </c>
      <c r="H6" s="152">
        <v>897050000</v>
      </c>
      <c r="I6" s="154" t="s">
        <v>770</v>
      </c>
      <c r="J6" s="154" t="s">
        <v>770</v>
      </c>
    </row>
    <row r="7" spans="2:10" ht="12" x14ac:dyDescent="0.15">
      <c r="B7" s="420"/>
      <c r="C7" s="413"/>
      <c r="D7" s="144" t="s">
        <v>786</v>
      </c>
      <c r="E7" s="144" t="s">
        <v>787</v>
      </c>
      <c r="F7" s="145">
        <v>44228</v>
      </c>
      <c r="G7" s="144" t="s">
        <v>788</v>
      </c>
      <c r="H7" s="152">
        <v>978350000</v>
      </c>
      <c r="I7" s="154" t="s">
        <v>770</v>
      </c>
      <c r="J7" s="154" t="s">
        <v>770</v>
      </c>
    </row>
    <row r="8" spans="2:10" ht="12" x14ac:dyDescent="0.15">
      <c r="B8" s="420"/>
      <c r="C8" s="413"/>
      <c r="D8" s="144" t="s">
        <v>786</v>
      </c>
      <c r="E8" s="144" t="s">
        <v>787</v>
      </c>
      <c r="F8" s="145">
        <v>44256</v>
      </c>
      <c r="G8" s="144" t="s">
        <v>788</v>
      </c>
      <c r="H8" s="152">
        <v>982350000</v>
      </c>
      <c r="I8" s="154" t="s">
        <v>770</v>
      </c>
      <c r="J8" s="154" t="s">
        <v>770</v>
      </c>
    </row>
    <row r="9" spans="2:10" ht="12" x14ac:dyDescent="0.15">
      <c r="B9" s="420"/>
      <c r="C9" s="413"/>
      <c r="D9" s="144" t="s">
        <v>786</v>
      </c>
      <c r="E9" s="144" t="s">
        <v>787</v>
      </c>
      <c r="F9" s="145">
        <v>44287</v>
      </c>
      <c r="G9" s="144" t="s">
        <v>788</v>
      </c>
      <c r="H9" s="152">
        <v>974500000</v>
      </c>
      <c r="I9" s="154" t="s">
        <v>770</v>
      </c>
      <c r="J9" s="154" t="s">
        <v>770</v>
      </c>
    </row>
    <row r="10" spans="2:10" ht="12" x14ac:dyDescent="0.15">
      <c r="B10" s="420"/>
      <c r="C10" s="413"/>
      <c r="D10" s="144" t="s">
        <v>786</v>
      </c>
      <c r="E10" s="144" t="s">
        <v>787</v>
      </c>
      <c r="F10" s="145">
        <v>44317</v>
      </c>
      <c r="G10" s="144" t="s">
        <v>788</v>
      </c>
      <c r="H10" s="152">
        <v>978150000</v>
      </c>
      <c r="I10" s="154" t="s">
        <v>770</v>
      </c>
      <c r="J10" s="154" t="s">
        <v>770</v>
      </c>
    </row>
    <row r="11" spans="2:10" ht="12" x14ac:dyDescent="0.15">
      <c r="B11" s="420"/>
      <c r="C11" s="413"/>
      <c r="D11" s="144" t="s">
        <v>786</v>
      </c>
      <c r="E11" s="144" t="s">
        <v>787</v>
      </c>
      <c r="F11" s="145">
        <v>44348</v>
      </c>
      <c r="G11" s="144" t="s">
        <v>788</v>
      </c>
      <c r="H11" s="152">
        <v>958550000</v>
      </c>
      <c r="I11" s="154" t="s">
        <v>770</v>
      </c>
      <c r="J11" s="154" t="s">
        <v>770</v>
      </c>
    </row>
    <row r="12" spans="2:10" ht="12" x14ac:dyDescent="0.15">
      <c r="B12" s="420"/>
      <c r="C12" s="413"/>
      <c r="D12" s="144" t="s">
        <v>786</v>
      </c>
      <c r="E12" s="144" t="s">
        <v>787</v>
      </c>
      <c r="F12" s="145">
        <v>44378</v>
      </c>
      <c r="G12" s="144" t="s">
        <v>788</v>
      </c>
      <c r="H12" s="152">
        <v>981650000</v>
      </c>
      <c r="I12" s="154" t="s">
        <v>770</v>
      </c>
      <c r="J12" s="154" t="s">
        <v>770</v>
      </c>
    </row>
    <row r="13" spans="2:10" ht="12" x14ac:dyDescent="0.15">
      <c r="B13" s="420"/>
      <c r="C13" s="413"/>
      <c r="D13" s="144" t="s">
        <v>786</v>
      </c>
      <c r="E13" s="144" t="s">
        <v>787</v>
      </c>
      <c r="F13" s="145">
        <v>44409</v>
      </c>
      <c r="G13" s="144" t="s">
        <v>788</v>
      </c>
      <c r="H13" s="152">
        <v>983750000</v>
      </c>
      <c r="I13" s="154" t="s">
        <v>770</v>
      </c>
      <c r="J13" s="154" t="s">
        <v>770</v>
      </c>
    </row>
    <row r="14" spans="2:10" ht="12" x14ac:dyDescent="0.15">
      <c r="B14" s="420"/>
      <c r="C14" s="413"/>
      <c r="D14" s="144" t="s">
        <v>786</v>
      </c>
      <c r="E14" s="144" t="s">
        <v>787</v>
      </c>
      <c r="F14" s="145">
        <v>44440</v>
      </c>
      <c r="G14" s="144" t="s">
        <v>788</v>
      </c>
      <c r="H14" s="152">
        <v>1651290610</v>
      </c>
      <c r="I14" s="154" t="s">
        <v>770</v>
      </c>
      <c r="J14" s="154" t="s">
        <v>770</v>
      </c>
    </row>
    <row r="15" spans="2:10" ht="12" x14ac:dyDescent="0.15">
      <c r="B15" s="420"/>
      <c r="C15" s="413"/>
      <c r="D15" s="144" t="s">
        <v>786</v>
      </c>
      <c r="E15" s="144" t="s">
        <v>787</v>
      </c>
      <c r="F15" s="145">
        <v>44470</v>
      </c>
      <c r="G15" s="144" t="s">
        <v>788</v>
      </c>
      <c r="H15" s="152">
        <v>1648099175</v>
      </c>
      <c r="I15" s="154" t="s">
        <v>770</v>
      </c>
      <c r="J15" s="154" t="s">
        <v>770</v>
      </c>
    </row>
    <row r="16" spans="2:10" ht="12" x14ac:dyDescent="0.15">
      <c r="B16" s="420"/>
      <c r="C16" s="413"/>
      <c r="D16" s="144" t="s">
        <v>786</v>
      </c>
      <c r="E16" s="144" t="s">
        <v>787</v>
      </c>
      <c r="F16" s="145">
        <v>44501</v>
      </c>
      <c r="G16" s="144" t="s">
        <v>788</v>
      </c>
      <c r="H16" s="152">
        <v>960200000</v>
      </c>
      <c r="I16" s="154" t="s">
        <v>770</v>
      </c>
      <c r="J16" s="154" t="s">
        <v>770</v>
      </c>
    </row>
    <row r="17" spans="2:12" ht="12" x14ac:dyDescent="0.15">
      <c r="B17" s="421"/>
      <c r="C17" s="416"/>
      <c r="D17" s="144" t="s">
        <v>786</v>
      </c>
      <c r="E17" s="144" t="s">
        <v>787</v>
      </c>
      <c r="F17" s="145">
        <v>44531</v>
      </c>
      <c r="G17" s="144" t="s">
        <v>788</v>
      </c>
      <c r="H17" s="152">
        <v>1538380697</v>
      </c>
      <c r="I17" s="154" t="s">
        <v>770</v>
      </c>
      <c r="J17" s="154" t="s">
        <v>770</v>
      </c>
    </row>
    <row r="18" spans="2:12" ht="12" x14ac:dyDescent="0.15">
      <c r="B18" s="414">
        <v>3</v>
      </c>
      <c r="C18" s="412" t="s">
        <v>36</v>
      </c>
      <c r="D18" s="143" t="s">
        <v>770</v>
      </c>
      <c r="E18" s="143" t="s">
        <v>770</v>
      </c>
      <c r="F18" s="146">
        <v>44442</v>
      </c>
      <c r="G18" s="143" t="s">
        <v>789</v>
      </c>
      <c r="H18" s="151">
        <v>15728951090</v>
      </c>
      <c r="I18" s="141" t="s">
        <v>770</v>
      </c>
      <c r="J18" s="155" t="s">
        <v>785</v>
      </c>
    </row>
    <row r="19" spans="2:12" ht="12" x14ac:dyDescent="0.15">
      <c r="B19" s="415"/>
      <c r="C19" s="413"/>
      <c r="D19" s="143" t="s">
        <v>770</v>
      </c>
      <c r="E19" s="143" t="s">
        <v>770</v>
      </c>
      <c r="F19" s="146">
        <v>44442</v>
      </c>
      <c r="G19" s="143" t="s">
        <v>790</v>
      </c>
      <c r="H19" s="151">
        <v>15728951090</v>
      </c>
      <c r="I19" s="141" t="s">
        <v>770</v>
      </c>
      <c r="J19" s="155" t="s">
        <v>785</v>
      </c>
    </row>
    <row r="20" spans="2:12" ht="12" x14ac:dyDescent="0.15">
      <c r="B20" s="415"/>
      <c r="C20" s="413"/>
      <c r="D20" s="143" t="s">
        <v>770</v>
      </c>
      <c r="E20" s="143" t="s">
        <v>770</v>
      </c>
      <c r="F20" s="146">
        <v>44442</v>
      </c>
      <c r="G20" s="143" t="s">
        <v>790</v>
      </c>
      <c r="H20" s="151">
        <v>193810049</v>
      </c>
      <c r="I20" s="141" t="s">
        <v>770</v>
      </c>
      <c r="J20" s="155" t="s">
        <v>785</v>
      </c>
    </row>
    <row r="21" spans="2:12" ht="12" x14ac:dyDescent="0.15">
      <c r="B21" s="415"/>
      <c r="C21" s="413"/>
      <c r="D21" s="143" t="s">
        <v>770</v>
      </c>
      <c r="E21" s="143" t="s">
        <v>770</v>
      </c>
      <c r="F21" s="146">
        <v>44442</v>
      </c>
      <c r="G21" s="143" t="s">
        <v>790</v>
      </c>
      <c r="H21" s="151">
        <v>193810049</v>
      </c>
      <c r="I21" s="141" t="s">
        <v>770</v>
      </c>
      <c r="J21" s="155" t="s">
        <v>785</v>
      </c>
    </row>
    <row r="22" spans="2:12" ht="12" x14ac:dyDescent="0.15">
      <c r="B22" s="156">
        <v>4</v>
      </c>
      <c r="C22" s="157" t="s">
        <v>70</v>
      </c>
      <c r="D22" s="143" t="s">
        <v>770</v>
      </c>
      <c r="E22" s="143" t="s">
        <v>770</v>
      </c>
      <c r="F22" s="141" t="s">
        <v>770</v>
      </c>
      <c r="G22" s="147" t="s">
        <v>784</v>
      </c>
      <c r="H22" s="153">
        <v>18140561658</v>
      </c>
      <c r="I22" s="141" t="s">
        <v>770</v>
      </c>
      <c r="J22" s="155" t="s">
        <v>785</v>
      </c>
    </row>
    <row r="23" spans="2:12" ht="12" x14ac:dyDescent="0.15">
      <c r="B23" s="414">
        <v>5</v>
      </c>
      <c r="C23" s="412" t="s">
        <v>81</v>
      </c>
      <c r="D23" s="143" t="s">
        <v>791</v>
      </c>
      <c r="E23" s="143" t="s">
        <v>792</v>
      </c>
      <c r="F23" s="148">
        <v>44418</v>
      </c>
      <c r="G23" s="143" t="s">
        <v>793</v>
      </c>
      <c r="H23" s="151">
        <v>1975672955</v>
      </c>
      <c r="I23" s="141" t="s">
        <v>770</v>
      </c>
      <c r="J23" s="155" t="s">
        <v>785</v>
      </c>
      <c r="L23" s="5"/>
    </row>
    <row r="24" spans="2:12" ht="12" x14ac:dyDescent="0.15">
      <c r="B24" s="417"/>
      <c r="C24" s="416"/>
      <c r="D24" s="143" t="s">
        <v>791</v>
      </c>
      <c r="E24" s="143" t="s">
        <v>792</v>
      </c>
      <c r="F24" s="148">
        <v>44431</v>
      </c>
      <c r="G24" s="143" t="s">
        <v>793</v>
      </c>
      <c r="H24" s="151">
        <v>2055139812</v>
      </c>
      <c r="I24" s="141" t="s">
        <v>770</v>
      </c>
      <c r="J24" s="155" t="s">
        <v>785</v>
      </c>
    </row>
    <row r="25" spans="2:12" ht="12" x14ac:dyDescent="0.15">
      <c r="B25" s="69"/>
      <c r="C25" s="160" t="s">
        <v>794</v>
      </c>
      <c r="D25" s="70"/>
      <c r="E25" s="70"/>
      <c r="F25" s="69"/>
      <c r="G25" s="70"/>
      <c r="H25" s="161">
        <f>SUM(H5:H24)</f>
        <v>87310939920</v>
      </c>
      <c r="I25" s="69"/>
      <c r="J25" s="69"/>
    </row>
  </sheetData>
  <mergeCells count="13">
    <mergeCell ref="C18:C21"/>
    <mergeCell ref="B18:B21"/>
    <mergeCell ref="C23:C24"/>
    <mergeCell ref="B23:B24"/>
    <mergeCell ref="J3:J4"/>
    <mergeCell ref="E3:E4"/>
    <mergeCell ref="F3:F4"/>
    <mergeCell ref="G3:G4"/>
    <mergeCell ref="B3:B4"/>
    <mergeCell ref="C3:C4"/>
    <mergeCell ref="D3:D4"/>
    <mergeCell ref="C6:C17"/>
    <mergeCell ref="B6:B1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F20EE-6AF8-4A59-8526-A512086C50AF}">
  <dimension ref="B1:M1910"/>
  <sheetViews>
    <sheetView showGridLines="0" zoomScale="70" zoomScaleNormal="70" workbookViewId="0">
      <selection activeCell="L1" sqref="L1"/>
    </sheetView>
  </sheetViews>
  <sheetFormatPr defaultColWidth="11.56640625" defaultRowHeight="13.5" x14ac:dyDescent="0.2"/>
  <cols>
    <col min="1" max="1" width="11.56640625" style="4"/>
    <col min="2" max="2" width="6.3203125" style="4" customWidth="1"/>
    <col min="3" max="3" width="43.31640625" style="78" customWidth="1"/>
    <col min="4" max="4" width="48.6953125" style="6" bestFit="1" customWidth="1"/>
    <col min="5" max="5" width="18.83203125" style="6" bestFit="1" customWidth="1"/>
    <col min="6" max="6" width="10.4921875" style="75" bestFit="1" customWidth="1"/>
    <col min="7" max="7" width="9.953125" style="4" bestFit="1" customWidth="1"/>
    <col min="8" max="8" width="21.38671875" style="4" bestFit="1" customWidth="1"/>
    <col min="9" max="9" width="39.546875" style="6" customWidth="1"/>
    <col min="10" max="10" width="17.62109375" style="6" customWidth="1"/>
    <col min="11" max="11" width="3.62890625" style="4" bestFit="1" customWidth="1"/>
    <col min="12" max="12" width="13.71875" style="4" bestFit="1" customWidth="1"/>
    <col min="13" max="16384" width="11.56640625" style="4"/>
  </cols>
  <sheetData>
    <row r="1" spans="2:10" ht="14.25" x14ac:dyDescent="0.15">
      <c r="B1" s="158" t="s">
        <v>5</v>
      </c>
    </row>
    <row r="3" spans="2:10" ht="12" x14ac:dyDescent="0.15">
      <c r="B3" s="422" t="s">
        <v>22</v>
      </c>
      <c r="C3" s="423" t="s">
        <v>23</v>
      </c>
      <c r="D3" s="418" t="s">
        <v>773</v>
      </c>
      <c r="E3" s="418" t="s">
        <v>774</v>
      </c>
      <c r="F3" s="424" t="s">
        <v>775</v>
      </c>
      <c r="G3" s="422" t="s">
        <v>776</v>
      </c>
      <c r="H3" s="114" t="s">
        <v>777</v>
      </c>
      <c r="I3" s="422" t="s">
        <v>778</v>
      </c>
      <c r="J3" s="422"/>
    </row>
    <row r="4" spans="2:10" ht="21.75" x14ac:dyDescent="0.15">
      <c r="B4" s="422"/>
      <c r="C4" s="423"/>
      <c r="D4" s="418"/>
      <c r="E4" s="418"/>
      <c r="F4" s="424"/>
      <c r="G4" s="422"/>
      <c r="H4" s="113" t="s">
        <v>795</v>
      </c>
      <c r="I4" s="115" t="s">
        <v>776</v>
      </c>
      <c r="J4" s="115" t="s">
        <v>796</v>
      </c>
    </row>
    <row r="5" spans="2:10" ht="21.75" x14ac:dyDescent="0.15">
      <c r="B5" s="123">
        <v>1</v>
      </c>
      <c r="C5" s="164" t="s">
        <v>28</v>
      </c>
      <c r="D5" s="125" t="s">
        <v>797</v>
      </c>
      <c r="E5" s="125" t="s">
        <v>787</v>
      </c>
      <c r="F5" s="165">
        <v>44214</v>
      </c>
      <c r="G5" s="120" t="s">
        <v>770</v>
      </c>
      <c r="H5" s="166">
        <v>1217624</v>
      </c>
      <c r="I5" s="125" t="s">
        <v>798</v>
      </c>
      <c r="J5" s="125" t="s">
        <v>770</v>
      </c>
    </row>
    <row r="6" spans="2:10" ht="21.75" x14ac:dyDescent="0.15">
      <c r="B6" s="123">
        <v>1</v>
      </c>
      <c r="C6" s="164" t="s">
        <v>28</v>
      </c>
      <c r="D6" s="125" t="s">
        <v>797</v>
      </c>
      <c r="E6" s="125" t="s">
        <v>787</v>
      </c>
      <c r="F6" s="165">
        <v>44217</v>
      </c>
      <c r="G6" s="120" t="s">
        <v>770</v>
      </c>
      <c r="H6" s="166">
        <v>85235334</v>
      </c>
      <c r="I6" s="125" t="s">
        <v>799</v>
      </c>
      <c r="J6" s="125" t="s">
        <v>770</v>
      </c>
    </row>
    <row r="7" spans="2:10" ht="21.75" x14ac:dyDescent="0.15">
      <c r="B7" s="123">
        <v>1</v>
      </c>
      <c r="C7" s="164" t="s">
        <v>28</v>
      </c>
      <c r="D7" s="125" t="s">
        <v>797</v>
      </c>
      <c r="E7" s="125" t="s">
        <v>787</v>
      </c>
      <c r="F7" s="165">
        <v>44217</v>
      </c>
      <c r="G7" s="120" t="s">
        <v>770</v>
      </c>
      <c r="H7" s="166">
        <v>92500000</v>
      </c>
      <c r="I7" s="125" t="s">
        <v>800</v>
      </c>
      <c r="J7" s="125" t="s">
        <v>770</v>
      </c>
    </row>
    <row r="8" spans="2:10" ht="21.75" x14ac:dyDescent="0.15">
      <c r="B8" s="123">
        <v>1</v>
      </c>
      <c r="C8" s="164" t="s">
        <v>28</v>
      </c>
      <c r="D8" s="125" t="s">
        <v>797</v>
      </c>
      <c r="E8" s="125" t="s">
        <v>787</v>
      </c>
      <c r="F8" s="165">
        <v>44217</v>
      </c>
      <c r="G8" s="120" t="s">
        <v>770</v>
      </c>
      <c r="H8" s="166">
        <v>246431888</v>
      </c>
      <c r="I8" s="125" t="s">
        <v>801</v>
      </c>
      <c r="J8" s="125" t="s">
        <v>770</v>
      </c>
    </row>
    <row r="9" spans="2:10" ht="21.75" x14ac:dyDescent="0.15">
      <c r="B9" s="123">
        <v>1</v>
      </c>
      <c r="C9" s="164" t="s">
        <v>28</v>
      </c>
      <c r="D9" s="125" t="s">
        <v>802</v>
      </c>
      <c r="E9" s="125" t="s">
        <v>803</v>
      </c>
      <c r="F9" s="165">
        <v>44223</v>
      </c>
      <c r="G9" s="120" t="s">
        <v>770</v>
      </c>
      <c r="H9" s="166">
        <v>1005869680</v>
      </c>
      <c r="I9" s="125" t="s">
        <v>804</v>
      </c>
      <c r="J9" s="125" t="s">
        <v>770</v>
      </c>
    </row>
    <row r="10" spans="2:10" ht="12" x14ac:dyDescent="0.15">
      <c r="B10" s="123">
        <v>1</v>
      </c>
      <c r="C10" s="164" t="s">
        <v>28</v>
      </c>
      <c r="D10" s="125" t="s">
        <v>797</v>
      </c>
      <c r="E10" s="125" t="s">
        <v>787</v>
      </c>
      <c r="F10" s="165">
        <v>44227</v>
      </c>
      <c r="G10" s="120" t="s">
        <v>770</v>
      </c>
      <c r="H10" s="166">
        <v>5000000</v>
      </c>
      <c r="I10" s="125" t="s">
        <v>805</v>
      </c>
      <c r="J10" s="125" t="s">
        <v>770</v>
      </c>
    </row>
    <row r="11" spans="2:10" ht="12" x14ac:dyDescent="0.15">
      <c r="B11" s="123">
        <v>1</v>
      </c>
      <c r="C11" s="164" t="s">
        <v>28</v>
      </c>
      <c r="D11" s="125" t="s">
        <v>797</v>
      </c>
      <c r="E11" s="125" t="s">
        <v>787</v>
      </c>
      <c r="F11" s="165">
        <v>44227</v>
      </c>
      <c r="G11" s="120" t="s">
        <v>770</v>
      </c>
      <c r="H11" s="166">
        <v>1200000</v>
      </c>
      <c r="I11" s="125" t="s">
        <v>806</v>
      </c>
      <c r="J11" s="125" t="s">
        <v>770</v>
      </c>
    </row>
    <row r="12" spans="2:10" ht="21.75" x14ac:dyDescent="0.15">
      <c r="B12" s="123">
        <v>1</v>
      </c>
      <c r="C12" s="164" t="s">
        <v>28</v>
      </c>
      <c r="D12" s="125" t="s">
        <v>797</v>
      </c>
      <c r="E12" s="125" t="s">
        <v>787</v>
      </c>
      <c r="F12" s="165">
        <v>44227</v>
      </c>
      <c r="G12" s="120" t="s">
        <v>770</v>
      </c>
      <c r="H12" s="166">
        <v>2000000</v>
      </c>
      <c r="I12" s="125" t="s">
        <v>807</v>
      </c>
      <c r="J12" s="125" t="s">
        <v>770</v>
      </c>
    </row>
    <row r="13" spans="2:10" ht="21.75" x14ac:dyDescent="0.15">
      <c r="B13" s="123">
        <v>1</v>
      </c>
      <c r="C13" s="164" t="s">
        <v>28</v>
      </c>
      <c r="D13" s="125" t="s">
        <v>797</v>
      </c>
      <c r="E13" s="125" t="s">
        <v>787</v>
      </c>
      <c r="F13" s="165">
        <v>44227</v>
      </c>
      <c r="G13" s="120" t="s">
        <v>770</v>
      </c>
      <c r="H13" s="166">
        <v>1800000</v>
      </c>
      <c r="I13" s="125" t="s">
        <v>808</v>
      </c>
      <c r="J13" s="125" t="s">
        <v>770</v>
      </c>
    </row>
    <row r="14" spans="2:10" ht="12" x14ac:dyDescent="0.15">
      <c r="B14" s="123">
        <v>1</v>
      </c>
      <c r="C14" s="164" t="s">
        <v>28</v>
      </c>
      <c r="D14" s="125" t="s">
        <v>797</v>
      </c>
      <c r="E14" s="125" t="s">
        <v>787</v>
      </c>
      <c r="F14" s="165">
        <v>44227</v>
      </c>
      <c r="G14" s="120" t="s">
        <v>770</v>
      </c>
      <c r="H14" s="166">
        <v>1383333</v>
      </c>
      <c r="I14" s="125" t="s">
        <v>809</v>
      </c>
      <c r="J14" s="125" t="s">
        <v>770</v>
      </c>
    </row>
    <row r="15" spans="2:10" ht="12" x14ac:dyDescent="0.15">
      <c r="B15" s="123">
        <v>1</v>
      </c>
      <c r="C15" s="164" t="s">
        <v>28</v>
      </c>
      <c r="D15" s="125" t="s">
        <v>797</v>
      </c>
      <c r="E15" s="125" t="s">
        <v>787</v>
      </c>
      <c r="F15" s="165">
        <v>44227</v>
      </c>
      <c r="G15" s="120" t="s">
        <v>770</v>
      </c>
      <c r="H15" s="166">
        <v>666666</v>
      </c>
      <c r="I15" s="125" t="s">
        <v>810</v>
      </c>
      <c r="J15" s="125" t="s">
        <v>770</v>
      </c>
    </row>
    <row r="16" spans="2:10" ht="12" x14ac:dyDescent="0.15">
      <c r="B16" s="123">
        <v>1</v>
      </c>
      <c r="C16" s="164" t="s">
        <v>28</v>
      </c>
      <c r="D16" s="125" t="s">
        <v>797</v>
      </c>
      <c r="E16" s="125" t="s">
        <v>787</v>
      </c>
      <c r="F16" s="165">
        <v>44227</v>
      </c>
      <c r="G16" s="120" t="s">
        <v>770</v>
      </c>
      <c r="H16" s="166">
        <v>333333</v>
      </c>
      <c r="I16" s="125" t="s">
        <v>811</v>
      </c>
      <c r="J16" s="125" t="s">
        <v>770</v>
      </c>
    </row>
    <row r="17" spans="2:10" ht="12" x14ac:dyDescent="0.15">
      <c r="B17" s="123">
        <v>1</v>
      </c>
      <c r="C17" s="164" t="s">
        <v>28</v>
      </c>
      <c r="D17" s="125" t="s">
        <v>797</v>
      </c>
      <c r="E17" s="125" t="s">
        <v>787</v>
      </c>
      <c r="F17" s="165">
        <v>44227</v>
      </c>
      <c r="G17" s="120" t="s">
        <v>770</v>
      </c>
      <c r="H17" s="166">
        <v>650000</v>
      </c>
      <c r="I17" s="125" t="s">
        <v>812</v>
      </c>
      <c r="J17" s="125" t="s">
        <v>770</v>
      </c>
    </row>
    <row r="18" spans="2:10" ht="12" x14ac:dyDescent="0.15">
      <c r="B18" s="123">
        <v>1</v>
      </c>
      <c r="C18" s="164" t="s">
        <v>28</v>
      </c>
      <c r="D18" s="125" t="s">
        <v>797</v>
      </c>
      <c r="E18" s="125" t="s">
        <v>787</v>
      </c>
      <c r="F18" s="165">
        <v>44209</v>
      </c>
      <c r="G18" s="120" t="s">
        <v>770</v>
      </c>
      <c r="H18" s="166">
        <v>839342079</v>
      </c>
      <c r="I18" s="125" t="s">
        <v>813</v>
      </c>
      <c r="J18" s="125" t="s">
        <v>770</v>
      </c>
    </row>
    <row r="19" spans="2:10" ht="21.75" x14ac:dyDescent="0.15">
      <c r="B19" s="123">
        <v>1</v>
      </c>
      <c r="C19" s="164" t="s">
        <v>28</v>
      </c>
      <c r="D19" s="125" t="s">
        <v>797</v>
      </c>
      <c r="E19" s="125" t="s">
        <v>787</v>
      </c>
      <c r="F19" s="165">
        <v>44209</v>
      </c>
      <c r="G19" s="120" t="s">
        <v>770</v>
      </c>
      <c r="H19" s="166">
        <v>90188129</v>
      </c>
      <c r="I19" s="125" t="s">
        <v>814</v>
      </c>
      <c r="J19" s="125" t="s">
        <v>770</v>
      </c>
    </row>
    <row r="20" spans="2:10" ht="21.75" x14ac:dyDescent="0.15">
      <c r="B20" s="123">
        <v>1</v>
      </c>
      <c r="C20" s="164" t="s">
        <v>28</v>
      </c>
      <c r="D20" s="125" t="s">
        <v>797</v>
      </c>
      <c r="E20" s="125" t="s">
        <v>787</v>
      </c>
      <c r="F20" s="165">
        <v>44236</v>
      </c>
      <c r="G20" s="120" t="s">
        <v>770</v>
      </c>
      <c r="H20" s="166">
        <v>427777777</v>
      </c>
      <c r="I20" s="125" t="s">
        <v>815</v>
      </c>
      <c r="J20" s="125" t="s">
        <v>770</v>
      </c>
    </row>
    <row r="21" spans="2:10" ht="21.75" x14ac:dyDescent="0.15">
      <c r="B21" s="123">
        <v>1</v>
      </c>
      <c r="C21" s="164" t="s">
        <v>28</v>
      </c>
      <c r="D21" s="125" t="s">
        <v>797</v>
      </c>
      <c r="E21" s="125" t="s">
        <v>787</v>
      </c>
      <c r="F21" s="165">
        <v>44236</v>
      </c>
      <c r="G21" s="120" t="s">
        <v>770</v>
      </c>
      <c r="H21" s="166">
        <v>66000000</v>
      </c>
      <c r="I21" s="125" t="s">
        <v>816</v>
      </c>
      <c r="J21" s="125" t="s">
        <v>770</v>
      </c>
    </row>
    <row r="22" spans="2:10" ht="21.75" x14ac:dyDescent="0.15">
      <c r="B22" s="123">
        <v>1</v>
      </c>
      <c r="C22" s="164" t="s">
        <v>28</v>
      </c>
      <c r="D22" s="125" t="s">
        <v>797</v>
      </c>
      <c r="E22" s="125" t="s">
        <v>787</v>
      </c>
      <c r="F22" s="165">
        <v>44255</v>
      </c>
      <c r="G22" s="120" t="s">
        <v>770</v>
      </c>
      <c r="H22" s="166">
        <v>36000000</v>
      </c>
      <c r="I22" s="125" t="s">
        <v>817</v>
      </c>
      <c r="J22" s="125" t="s">
        <v>770</v>
      </c>
    </row>
    <row r="23" spans="2:10" ht="21.75" x14ac:dyDescent="0.15">
      <c r="B23" s="123">
        <v>1</v>
      </c>
      <c r="C23" s="164" t="s">
        <v>28</v>
      </c>
      <c r="D23" s="125" t="s">
        <v>797</v>
      </c>
      <c r="E23" s="125" t="s">
        <v>787</v>
      </c>
      <c r="F23" s="165">
        <v>44255</v>
      </c>
      <c r="G23" s="120" t="s">
        <v>770</v>
      </c>
      <c r="H23" s="166">
        <v>294444444</v>
      </c>
      <c r="I23" s="125" t="s">
        <v>818</v>
      </c>
      <c r="J23" s="125" t="s">
        <v>770</v>
      </c>
    </row>
    <row r="24" spans="2:10" ht="12" x14ac:dyDescent="0.15">
      <c r="B24" s="123">
        <v>1</v>
      </c>
      <c r="C24" s="164" t="s">
        <v>28</v>
      </c>
      <c r="D24" s="125" t="s">
        <v>797</v>
      </c>
      <c r="E24" s="125" t="s">
        <v>787</v>
      </c>
      <c r="F24" s="165">
        <v>44255</v>
      </c>
      <c r="G24" s="120" t="s">
        <v>770</v>
      </c>
      <c r="H24" s="166">
        <v>110000000</v>
      </c>
      <c r="I24" s="125" t="s">
        <v>819</v>
      </c>
      <c r="J24" s="125" t="s">
        <v>770</v>
      </c>
    </row>
    <row r="25" spans="2:10" ht="21.75" x14ac:dyDescent="0.15">
      <c r="B25" s="123">
        <v>1</v>
      </c>
      <c r="C25" s="164" t="s">
        <v>28</v>
      </c>
      <c r="D25" s="125" t="s">
        <v>797</v>
      </c>
      <c r="E25" s="125" t="s">
        <v>787</v>
      </c>
      <c r="F25" s="165">
        <v>44255</v>
      </c>
      <c r="G25" s="120" t="s">
        <v>770</v>
      </c>
      <c r="H25" s="166">
        <v>40000</v>
      </c>
      <c r="I25" s="125" t="s">
        <v>820</v>
      </c>
      <c r="J25" s="125" t="s">
        <v>770</v>
      </c>
    </row>
    <row r="26" spans="2:10" ht="21.75" x14ac:dyDescent="0.15">
      <c r="B26" s="123">
        <v>1</v>
      </c>
      <c r="C26" s="164" t="s">
        <v>28</v>
      </c>
      <c r="D26" s="125" t="s">
        <v>797</v>
      </c>
      <c r="E26" s="125" t="s">
        <v>787</v>
      </c>
      <c r="F26" s="165">
        <v>44255</v>
      </c>
      <c r="G26" s="120" t="s">
        <v>770</v>
      </c>
      <c r="H26" s="166">
        <v>10500000</v>
      </c>
      <c r="I26" s="125" t="s">
        <v>821</v>
      </c>
      <c r="J26" s="125" t="s">
        <v>770</v>
      </c>
    </row>
    <row r="27" spans="2:10" ht="21.75" x14ac:dyDescent="0.15">
      <c r="B27" s="123">
        <v>1</v>
      </c>
      <c r="C27" s="164" t="s">
        <v>28</v>
      </c>
      <c r="D27" s="125" t="s">
        <v>797</v>
      </c>
      <c r="E27" s="125" t="s">
        <v>787</v>
      </c>
      <c r="F27" s="165">
        <v>44255</v>
      </c>
      <c r="G27" s="120" t="s">
        <v>770</v>
      </c>
      <c r="H27" s="166">
        <v>1600000</v>
      </c>
      <c r="I27" s="125" t="s">
        <v>822</v>
      </c>
      <c r="J27" s="125" t="s">
        <v>770</v>
      </c>
    </row>
    <row r="28" spans="2:10" ht="21.75" x14ac:dyDescent="0.15">
      <c r="B28" s="123">
        <v>1</v>
      </c>
      <c r="C28" s="164" t="s">
        <v>28</v>
      </c>
      <c r="D28" s="125" t="s">
        <v>797</v>
      </c>
      <c r="E28" s="125" t="s">
        <v>787</v>
      </c>
      <c r="F28" s="165">
        <v>44255</v>
      </c>
      <c r="G28" s="120" t="s">
        <v>770</v>
      </c>
      <c r="H28" s="166">
        <v>900000</v>
      </c>
      <c r="I28" s="125" t="s">
        <v>823</v>
      </c>
      <c r="J28" s="125" t="s">
        <v>770</v>
      </c>
    </row>
    <row r="29" spans="2:10" ht="12" x14ac:dyDescent="0.15">
      <c r="B29" s="123">
        <v>1</v>
      </c>
      <c r="C29" s="164" t="s">
        <v>28</v>
      </c>
      <c r="D29" s="125" t="s">
        <v>797</v>
      </c>
      <c r="E29" s="125" t="s">
        <v>787</v>
      </c>
      <c r="F29" s="165">
        <v>44228</v>
      </c>
      <c r="G29" s="120" t="s">
        <v>770</v>
      </c>
      <c r="H29" s="166">
        <v>30017544</v>
      </c>
      <c r="I29" s="125" t="s">
        <v>824</v>
      </c>
      <c r="J29" s="125" t="s">
        <v>770</v>
      </c>
    </row>
    <row r="30" spans="2:10" ht="12" x14ac:dyDescent="0.15">
      <c r="B30" s="123">
        <v>1</v>
      </c>
      <c r="C30" s="164" t="s">
        <v>28</v>
      </c>
      <c r="D30" s="125" t="s">
        <v>797</v>
      </c>
      <c r="E30" s="125" t="s">
        <v>787</v>
      </c>
      <c r="F30" s="165">
        <v>44252</v>
      </c>
      <c r="G30" s="120" t="s">
        <v>770</v>
      </c>
      <c r="H30" s="166">
        <v>30044084</v>
      </c>
      <c r="I30" s="125" t="s">
        <v>825</v>
      </c>
      <c r="J30" s="125" t="s">
        <v>770</v>
      </c>
    </row>
    <row r="31" spans="2:10" ht="21.75" x14ac:dyDescent="0.15">
      <c r="B31" s="123">
        <v>1</v>
      </c>
      <c r="C31" s="164" t="s">
        <v>28</v>
      </c>
      <c r="D31" s="125" t="s">
        <v>797</v>
      </c>
      <c r="E31" s="125" t="s">
        <v>787</v>
      </c>
      <c r="F31" s="165">
        <v>44272</v>
      </c>
      <c r="G31" s="120" t="s">
        <v>770</v>
      </c>
      <c r="H31" s="166">
        <v>10600000</v>
      </c>
      <c r="I31" s="125" t="s">
        <v>826</v>
      </c>
      <c r="J31" s="125" t="s">
        <v>770</v>
      </c>
    </row>
    <row r="32" spans="2:10" ht="21.75" x14ac:dyDescent="0.15">
      <c r="B32" s="123">
        <v>1</v>
      </c>
      <c r="C32" s="164" t="s">
        <v>28</v>
      </c>
      <c r="D32" s="125" t="s">
        <v>797</v>
      </c>
      <c r="E32" s="125" t="s">
        <v>787</v>
      </c>
      <c r="F32" s="165">
        <v>44258</v>
      </c>
      <c r="G32" s="120" t="s">
        <v>770</v>
      </c>
      <c r="H32" s="166">
        <v>150000000</v>
      </c>
      <c r="I32" s="125" t="s">
        <v>827</v>
      </c>
      <c r="J32" s="125" t="s">
        <v>770</v>
      </c>
    </row>
    <row r="33" spans="2:10" ht="21.75" x14ac:dyDescent="0.15">
      <c r="B33" s="123">
        <v>1</v>
      </c>
      <c r="C33" s="164" t="s">
        <v>28</v>
      </c>
      <c r="D33" s="125" t="s">
        <v>797</v>
      </c>
      <c r="E33" s="125" t="s">
        <v>787</v>
      </c>
      <c r="F33" s="165">
        <v>44286</v>
      </c>
      <c r="G33" s="120" t="s">
        <v>770</v>
      </c>
      <c r="H33" s="166">
        <v>2033676000</v>
      </c>
      <c r="I33" s="125" t="s">
        <v>828</v>
      </c>
      <c r="J33" s="125" t="s">
        <v>770</v>
      </c>
    </row>
    <row r="34" spans="2:10" ht="21.75" x14ac:dyDescent="0.15">
      <c r="B34" s="123">
        <v>1</v>
      </c>
      <c r="C34" s="164" t="s">
        <v>28</v>
      </c>
      <c r="D34" s="125" t="s">
        <v>797</v>
      </c>
      <c r="E34" s="125" t="s">
        <v>787</v>
      </c>
      <c r="F34" s="165">
        <v>44286</v>
      </c>
      <c r="G34" s="120" t="s">
        <v>770</v>
      </c>
      <c r="H34" s="166">
        <v>5062000</v>
      </c>
      <c r="I34" s="125" t="s">
        <v>829</v>
      </c>
      <c r="J34" s="125" t="s">
        <v>770</v>
      </c>
    </row>
    <row r="35" spans="2:10" ht="21.75" x14ac:dyDescent="0.15">
      <c r="B35" s="123">
        <v>1</v>
      </c>
      <c r="C35" s="164" t="s">
        <v>28</v>
      </c>
      <c r="D35" s="125" t="s">
        <v>797</v>
      </c>
      <c r="E35" s="125" t="s">
        <v>787</v>
      </c>
      <c r="F35" s="165">
        <v>44286</v>
      </c>
      <c r="G35" s="120" t="s">
        <v>770</v>
      </c>
      <c r="H35" s="166">
        <v>1220000</v>
      </c>
      <c r="I35" s="125" t="s">
        <v>830</v>
      </c>
      <c r="J35" s="125" t="s">
        <v>770</v>
      </c>
    </row>
    <row r="36" spans="2:10" ht="21.75" x14ac:dyDescent="0.15">
      <c r="B36" s="123">
        <v>1</v>
      </c>
      <c r="C36" s="164" t="s">
        <v>28</v>
      </c>
      <c r="D36" s="125" t="s">
        <v>797</v>
      </c>
      <c r="E36" s="125" t="s">
        <v>787</v>
      </c>
      <c r="F36" s="165">
        <v>44286</v>
      </c>
      <c r="G36" s="120" t="s">
        <v>770</v>
      </c>
      <c r="H36" s="166">
        <v>3600000</v>
      </c>
      <c r="I36" s="125" t="s">
        <v>831</v>
      </c>
      <c r="J36" s="125" t="s">
        <v>770</v>
      </c>
    </row>
    <row r="37" spans="2:10" ht="21.75" x14ac:dyDescent="0.15">
      <c r="B37" s="123">
        <v>1</v>
      </c>
      <c r="C37" s="164" t="s">
        <v>28</v>
      </c>
      <c r="D37" s="125" t="s">
        <v>797</v>
      </c>
      <c r="E37" s="125" t="s">
        <v>787</v>
      </c>
      <c r="F37" s="165">
        <v>44286</v>
      </c>
      <c r="G37" s="120" t="s">
        <v>770</v>
      </c>
      <c r="H37" s="166">
        <v>5000000</v>
      </c>
      <c r="I37" s="125" t="s">
        <v>832</v>
      </c>
      <c r="J37" s="125" t="s">
        <v>770</v>
      </c>
    </row>
    <row r="38" spans="2:10" ht="21.75" x14ac:dyDescent="0.15">
      <c r="B38" s="123">
        <v>1</v>
      </c>
      <c r="C38" s="164" t="s">
        <v>28</v>
      </c>
      <c r="D38" s="125" t="s">
        <v>797</v>
      </c>
      <c r="E38" s="125" t="s">
        <v>787</v>
      </c>
      <c r="F38" s="165">
        <v>44286</v>
      </c>
      <c r="G38" s="120" t="s">
        <v>770</v>
      </c>
      <c r="H38" s="166">
        <v>4200000</v>
      </c>
      <c r="I38" s="125" t="s">
        <v>833</v>
      </c>
      <c r="J38" s="125" t="s">
        <v>770</v>
      </c>
    </row>
    <row r="39" spans="2:10" ht="21.75" x14ac:dyDescent="0.15">
      <c r="B39" s="123">
        <v>1</v>
      </c>
      <c r="C39" s="164" t="s">
        <v>28</v>
      </c>
      <c r="D39" s="125" t="s">
        <v>797</v>
      </c>
      <c r="E39" s="125" t="s">
        <v>787</v>
      </c>
      <c r="F39" s="165">
        <v>44286</v>
      </c>
      <c r="G39" s="120" t="s">
        <v>770</v>
      </c>
      <c r="H39" s="166">
        <v>1355000</v>
      </c>
      <c r="I39" s="125" t="s">
        <v>834</v>
      </c>
      <c r="J39" s="125" t="s">
        <v>770</v>
      </c>
    </row>
    <row r="40" spans="2:10" ht="21.75" x14ac:dyDescent="0.15">
      <c r="B40" s="123">
        <v>1</v>
      </c>
      <c r="C40" s="164" t="s">
        <v>28</v>
      </c>
      <c r="D40" s="125" t="s">
        <v>797</v>
      </c>
      <c r="E40" s="125" t="s">
        <v>787</v>
      </c>
      <c r="F40" s="165">
        <v>44286</v>
      </c>
      <c r="G40" s="120" t="s">
        <v>770</v>
      </c>
      <c r="H40" s="166">
        <v>20000000</v>
      </c>
      <c r="I40" s="125" t="s">
        <v>835</v>
      </c>
      <c r="J40" s="125" t="s">
        <v>770</v>
      </c>
    </row>
    <row r="41" spans="2:10" ht="21.75" x14ac:dyDescent="0.15">
      <c r="B41" s="123">
        <v>1</v>
      </c>
      <c r="C41" s="164" t="s">
        <v>28</v>
      </c>
      <c r="D41" s="125" t="s">
        <v>797</v>
      </c>
      <c r="E41" s="125" t="s">
        <v>787</v>
      </c>
      <c r="F41" s="165">
        <v>44286</v>
      </c>
      <c r="G41" s="120" t="s">
        <v>770</v>
      </c>
      <c r="H41" s="166">
        <v>2100000</v>
      </c>
      <c r="I41" s="125" t="s">
        <v>836</v>
      </c>
      <c r="J41" s="125" t="s">
        <v>770</v>
      </c>
    </row>
    <row r="42" spans="2:10" ht="21.75" x14ac:dyDescent="0.15">
      <c r="B42" s="123">
        <v>1</v>
      </c>
      <c r="C42" s="164" t="s">
        <v>28</v>
      </c>
      <c r="D42" s="125" t="s">
        <v>797</v>
      </c>
      <c r="E42" s="125" t="s">
        <v>787</v>
      </c>
      <c r="F42" s="165">
        <v>44286</v>
      </c>
      <c r="G42" s="120" t="s">
        <v>770</v>
      </c>
      <c r="H42" s="166">
        <v>690000</v>
      </c>
      <c r="I42" s="125" t="s">
        <v>837</v>
      </c>
      <c r="J42" s="125" t="s">
        <v>770</v>
      </c>
    </row>
    <row r="43" spans="2:10" ht="21.75" x14ac:dyDescent="0.15">
      <c r="B43" s="123">
        <v>1</v>
      </c>
      <c r="C43" s="164" t="s">
        <v>28</v>
      </c>
      <c r="D43" s="125" t="s">
        <v>797</v>
      </c>
      <c r="E43" s="125" t="s">
        <v>787</v>
      </c>
      <c r="F43" s="165">
        <v>44286</v>
      </c>
      <c r="G43" s="120" t="s">
        <v>770</v>
      </c>
      <c r="H43" s="166">
        <v>1475000</v>
      </c>
      <c r="I43" s="125" t="s">
        <v>838</v>
      </c>
      <c r="J43" s="125" t="s">
        <v>770</v>
      </c>
    </row>
    <row r="44" spans="2:10" ht="21.75" x14ac:dyDescent="0.15">
      <c r="B44" s="123">
        <v>1</v>
      </c>
      <c r="C44" s="164" t="s">
        <v>28</v>
      </c>
      <c r="D44" s="125" t="s">
        <v>797</v>
      </c>
      <c r="E44" s="125" t="s">
        <v>787</v>
      </c>
      <c r="F44" s="165">
        <v>44286</v>
      </c>
      <c r="G44" s="120" t="s">
        <v>770</v>
      </c>
      <c r="H44" s="166">
        <v>214500</v>
      </c>
      <c r="I44" s="125" t="s">
        <v>839</v>
      </c>
      <c r="J44" s="125" t="s">
        <v>770</v>
      </c>
    </row>
    <row r="45" spans="2:10" ht="21.75" x14ac:dyDescent="0.15">
      <c r="B45" s="123">
        <v>1</v>
      </c>
      <c r="C45" s="164" t="s">
        <v>28</v>
      </c>
      <c r="D45" s="125" t="s">
        <v>797</v>
      </c>
      <c r="E45" s="125" t="s">
        <v>787</v>
      </c>
      <c r="F45" s="165">
        <v>44286</v>
      </c>
      <c r="G45" s="120" t="s">
        <v>770</v>
      </c>
      <c r="H45" s="166">
        <v>1433000</v>
      </c>
      <c r="I45" s="125" t="s">
        <v>840</v>
      </c>
      <c r="J45" s="125" t="s">
        <v>770</v>
      </c>
    </row>
    <row r="46" spans="2:10" ht="21.75" x14ac:dyDescent="0.15">
      <c r="B46" s="123">
        <v>1</v>
      </c>
      <c r="C46" s="164" t="s">
        <v>28</v>
      </c>
      <c r="D46" s="125" t="s">
        <v>797</v>
      </c>
      <c r="E46" s="125" t="s">
        <v>787</v>
      </c>
      <c r="F46" s="165">
        <v>44266</v>
      </c>
      <c r="G46" s="120" t="s">
        <v>770</v>
      </c>
      <c r="H46" s="166">
        <v>62454993</v>
      </c>
      <c r="I46" s="125" t="s">
        <v>841</v>
      </c>
      <c r="J46" s="125" t="s">
        <v>770</v>
      </c>
    </row>
    <row r="47" spans="2:10" ht="12" x14ac:dyDescent="0.15">
      <c r="B47" s="123">
        <v>1</v>
      </c>
      <c r="C47" s="164" t="s">
        <v>28</v>
      </c>
      <c r="D47" s="125" t="s">
        <v>797</v>
      </c>
      <c r="E47" s="125" t="s">
        <v>787</v>
      </c>
      <c r="F47" s="165">
        <v>44284</v>
      </c>
      <c r="G47" s="120" t="s">
        <v>770</v>
      </c>
      <c r="H47" s="166">
        <v>29968697</v>
      </c>
      <c r="I47" s="125" t="s">
        <v>842</v>
      </c>
      <c r="J47" s="125" t="s">
        <v>770</v>
      </c>
    </row>
    <row r="48" spans="2:10" ht="21.75" x14ac:dyDescent="0.15">
      <c r="B48" s="123">
        <v>1</v>
      </c>
      <c r="C48" s="164" t="s">
        <v>28</v>
      </c>
      <c r="D48" s="125" t="s">
        <v>797</v>
      </c>
      <c r="E48" s="125" t="s">
        <v>787</v>
      </c>
      <c r="F48" s="165">
        <v>44286</v>
      </c>
      <c r="G48" s="120" t="s">
        <v>770</v>
      </c>
      <c r="H48" s="166">
        <v>109199987</v>
      </c>
      <c r="I48" s="125" t="s">
        <v>843</v>
      </c>
      <c r="J48" s="125" t="s">
        <v>770</v>
      </c>
    </row>
    <row r="49" spans="2:10" ht="21.75" x14ac:dyDescent="0.15">
      <c r="B49" s="123">
        <v>1</v>
      </c>
      <c r="C49" s="164" t="s">
        <v>28</v>
      </c>
      <c r="D49" s="125" t="s">
        <v>797</v>
      </c>
      <c r="E49" s="125" t="s">
        <v>787</v>
      </c>
      <c r="F49" s="165">
        <v>44286</v>
      </c>
      <c r="G49" s="120" t="s">
        <v>770</v>
      </c>
      <c r="H49" s="166">
        <v>202800063</v>
      </c>
      <c r="I49" s="125" t="s">
        <v>844</v>
      </c>
      <c r="J49" s="125" t="s">
        <v>770</v>
      </c>
    </row>
    <row r="50" spans="2:10" ht="21.75" x14ac:dyDescent="0.15">
      <c r="B50" s="123">
        <v>1</v>
      </c>
      <c r="C50" s="164" t="s">
        <v>28</v>
      </c>
      <c r="D50" s="125" t="s">
        <v>797</v>
      </c>
      <c r="E50" s="125" t="s">
        <v>787</v>
      </c>
      <c r="F50" s="165">
        <v>44286</v>
      </c>
      <c r="G50" s="120" t="s">
        <v>770</v>
      </c>
      <c r="H50" s="166">
        <v>85799968</v>
      </c>
      <c r="I50" s="125" t="s">
        <v>845</v>
      </c>
      <c r="J50" s="125" t="s">
        <v>770</v>
      </c>
    </row>
    <row r="51" spans="2:10" ht="21.75" x14ac:dyDescent="0.15">
      <c r="B51" s="123">
        <v>1</v>
      </c>
      <c r="C51" s="164" t="s">
        <v>28</v>
      </c>
      <c r="D51" s="125" t="s">
        <v>797</v>
      </c>
      <c r="E51" s="125" t="s">
        <v>787</v>
      </c>
      <c r="F51" s="165">
        <v>44286</v>
      </c>
      <c r="G51" s="120" t="s">
        <v>770</v>
      </c>
      <c r="H51" s="166">
        <v>101399981</v>
      </c>
      <c r="I51" s="125" t="s">
        <v>846</v>
      </c>
      <c r="J51" s="125" t="s">
        <v>770</v>
      </c>
    </row>
    <row r="52" spans="2:10" ht="21.75" x14ac:dyDescent="0.15">
      <c r="B52" s="123">
        <v>1</v>
      </c>
      <c r="C52" s="164" t="s">
        <v>28</v>
      </c>
      <c r="D52" s="125" t="s">
        <v>797</v>
      </c>
      <c r="E52" s="125" t="s">
        <v>787</v>
      </c>
      <c r="F52" s="165">
        <v>44299</v>
      </c>
      <c r="G52" s="120" t="s">
        <v>770</v>
      </c>
      <c r="H52" s="166">
        <v>289456000</v>
      </c>
      <c r="I52" s="125" t="s">
        <v>847</v>
      </c>
      <c r="J52" s="125" t="s">
        <v>770</v>
      </c>
    </row>
    <row r="53" spans="2:10" ht="21.75" x14ac:dyDescent="0.15">
      <c r="B53" s="123">
        <v>1</v>
      </c>
      <c r="C53" s="164" t="s">
        <v>28</v>
      </c>
      <c r="D53" s="125" t="s">
        <v>797</v>
      </c>
      <c r="E53" s="125" t="s">
        <v>787</v>
      </c>
      <c r="F53" s="165">
        <v>44299</v>
      </c>
      <c r="G53" s="120" t="s">
        <v>770</v>
      </c>
      <c r="H53" s="166">
        <v>82476000</v>
      </c>
      <c r="I53" s="125" t="s">
        <v>848</v>
      </c>
      <c r="J53" s="125" t="s">
        <v>770</v>
      </c>
    </row>
    <row r="54" spans="2:10" ht="21.75" x14ac:dyDescent="0.15">
      <c r="B54" s="123">
        <v>1</v>
      </c>
      <c r="C54" s="164" t="s">
        <v>28</v>
      </c>
      <c r="D54" s="125" t="s">
        <v>797</v>
      </c>
      <c r="E54" s="125" t="s">
        <v>787</v>
      </c>
      <c r="F54" s="165">
        <v>44299</v>
      </c>
      <c r="G54" s="120" t="s">
        <v>770</v>
      </c>
      <c r="H54" s="166">
        <v>66360000</v>
      </c>
      <c r="I54" s="125" t="s">
        <v>849</v>
      </c>
      <c r="J54" s="125" t="s">
        <v>770</v>
      </c>
    </row>
    <row r="55" spans="2:10" ht="21.75" x14ac:dyDescent="0.15">
      <c r="B55" s="123">
        <v>1</v>
      </c>
      <c r="C55" s="164" t="s">
        <v>28</v>
      </c>
      <c r="D55" s="125" t="s">
        <v>797</v>
      </c>
      <c r="E55" s="125" t="s">
        <v>787</v>
      </c>
      <c r="F55" s="165">
        <v>44299</v>
      </c>
      <c r="G55" s="120" t="s">
        <v>770</v>
      </c>
      <c r="H55" s="166">
        <v>6004000</v>
      </c>
      <c r="I55" s="125" t="s">
        <v>850</v>
      </c>
      <c r="J55" s="125" t="s">
        <v>770</v>
      </c>
    </row>
    <row r="56" spans="2:10" ht="21.75" x14ac:dyDescent="0.15">
      <c r="B56" s="123">
        <v>1</v>
      </c>
      <c r="C56" s="164" t="s">
        <v>28</v>
      </c>
      <c r="D56" s="125" t="s">
        <v>797</v>
      </c>
      <c r="E56" s="125" t="s">
        <v>787</v>
      </c>
      <c r="F56" s="165">
        <v>44312</v>
      </c>
      <c r="G56" s="120" t="s">
        <v>770</v>
      </c>
      <c r="H56" s="166">
        <v>9480000</v>
      </c>
      <c r="I56" s="125" t="s">
        <v>851</v>
      </c>
      <c r="J56" s="125" t="s">
        <v>770</v>
      </c>
    </row>
    <row r="57" spans="2:10" ht="21.75" x14ac:dyDescent="0.15">
      <c r="B57" s="123">
        <v>1</v>
      </c>
      <c r="C57" s="164" t="s">
        <v>28</v>
      </c>
      <c r="D57" s="125" t="s">
        <v>797</v>
      </c>
      <c r="E57" s="125" t="s">
        <v>787</v>
      </c>
      <c r="F57" s="165">
        <v>44312</v>
      </c>
      <c r="G57" s="120" t="s">
        <v>770</v>
      </c>
      <c r="H57" s="166">
        <v>316000</v>
      </c>
      <c r="I57" s="125" t="s">
        <v>852</v>
      </c>
      <c r="J57" s="125" t="s">
        <v>770</v>
      </c>
    </row>
    <row r="58" spans="2:10" ht="21.75" x14ac:dyDescent="0.15">
      <c r="B58" s="123">
        <v>1</v>
      </c>
      <c r="C58" s="164" t="s">
        <v>28</v>
      </c>
      <c r="D58" s="125" t="s">
        <v>797</v>
      </c>
      <c r="E58" s="125" t="s">
        <v>787</v>
      </c>
      <c r="F58" s="165">
        <v>44316</v>
      </c>
      <c r="G58" s="120" t="s">
        <v>770</v>
      </c>
      <c r="H58" s="166">
        <v>70000000</v>
      </c>
      <c r="I58" s="125" t="s">
        <v>853</v>
      </c>
      <c r="J58" s="125" t="s">
        <v>770</v>
      </c>
    </row>
    <row r="59" spans="2:10" ht="21.75" x14ac:dyDescent="0.15">
      <c r="B59" s="123">
        <v>1</v>
      </c>
      <c r="C59" s="164" t="s">
        <v>28</v>
      </c>
      <c r="D59" s="125" t="s">
        <v>797</v>
      </c>
      <c r="E59" s="125" t="s">
        <v>787</v>
      </c>
      <c r="F59" s="165">
        <v>44316</v>
      </c>
      <c r="G59" s="120" t="s">
        <v>770</v>
      </c>
      <c r="H59" s="166">
        <v>26666666</v>
      </c>
      <c r="I59" s="125" t="s">
        <v>854</v>
      </c>
      <c r="J59" s="125" t="s">
        <v>770</v>
      </c>
    </row>
    <row r="60" spans="2:10" ht="12" x14ac:dyDescent="0.15">
      <c r="B60" s="123">
        <v>1</v>
      </c>
      <c r="C60" s="164" t="s">
        <v>28</v>
      </c>
      <c r="D60" s="125" t="s">
        <v>797</v>
      </c>
      <c r="E60" s="125" t="s">
        <v>787</v>
      </c>
      <c r="F60" s="165">
        <v>44316</v>
      </c>
      <c r="G60" s="120" t="s">
        <v>770</v>
      </c>
      <c r="H60" s="166">
        <v>40000000</v>
      </c>
      <c r="I60" s="125" t="s">
        <v>855</v>
      </c>
      <c r="J60" s="125" t="s">
        <v>770</v>
      </c>
    </row>
    <row r="61" spans="2:10" ht="21.75" x14ac:dyDescent="0.15">
      <c r="B61" s="123">
        <v>1</v>
      </c>
      <c r="C61" s="164" t="s">
        <v>28</v>
      </c>
      <c r="D61" s="125" t="s">
        <v>797</v>
      </c>
      <c r="E61" s="125" t="s">
        <v>787</v>
      </c>
      <c r="F61" s="165">
        <v>44316</v>
      </c>
      <c r="G61" s="120" t="s">
        <v>770</v>
      </c>
      <c r="H61" s="166">
        <v>36666666</v>
      </c>
      <c r="I61" s="125" t="s">
        <v>856</v>
      </c>
      <c r="J61" s="125" t="s">
        <v>770</v>
      </c>
    </row>
    <row r="62" spans="2:10" ht="21.75" x14ac:dyDescent="0.15">
      <c r="B62" s="123">
        <v>1</v>
      </c>
      <c r="C62" s="164" t="s">
        <v>28</v>
      </c>
      <c r="D62" s="125" t="s">
        <v>797</v>
      </c>
      <c r="E62" s="125" t="s">
        <v>787</v>
      </c>
      <c r="F62" s="165">
        <v>44316</v>
      </c>
      <c r="G62" s="120" t="s">
        <v>770</v>
      </c>
      <c r="H62" s="166">
        <v>48333333</v>
      </c>
      <c r="I62" s="125" t="s">
        <v>857</v>
      </c>
      <c r="J62" s="125" t="s">
        <v>770</v>
      </c>
    </row>
    <row r="63" spans="2:10" ht="21.75" x14ac:dyDescent="0.15">
      <c r="B63" s="123">
        <v>1</v>
      </c>
      <c r="C63" s="164" t="s">
        <v>28</v>
      </c>
      <c r="D63" s="125" t="s">
        <v>797</v>
      </c>
      <c r="E63" s="125" t="s">
        <v>787</v>
      </c>
      <c r="F63" s="165">
        <v>44316</v>
      </c>
      <c r="G63" s="120" t="s">
        <v>770</v>
      </c>
      <c r="H63" s="166">
        <v>48333333</v>
      </c>
      <c r="I63" s="125" t="s">
        <v>858</v>
      </c>
      <c r="J63" s="125" t="s">
        <v>770</v>
      </c>
    </row>
    <row r="64" spans="2:10" ht="12" x14ac:dyDescent="0.15">
      <c r="B64" s="123">
        <v>1</v>
      </c>
      <c r="C64" s="164" t="s">
        <v>28</v>
      </c>
      <c r="D64" s="125" t="s">
        <v>797</v>
      </c>
      <c r="E64" s="125" t="s">
        <v>787</v>
      </c>
      <c r="F64" s="165">
        <v>44316</v>
      </c>
      <c r="G64" s="120" t="s">
        <v>770</v>
      </c>
      <c r="H64" s="166">
        <v>50000000</v>
      </c>
      <c r="I64" s="125" t="s">
        <v>859</v>
      </c>
      <c r="J64" s="125" t="s">
        <v>770</v>
      </c>
    </row>
    <row r="65" spans="2:10" ht="21.75" x14ac:dyDescent="0.15">
      <c r="B65" s="123">
        <v>1</v>
      </c>
      <c r="C65" s="164" t="s">
        <v>28</v>
      </c>
      <c r="D65" s="125" t="s">
        <v>797</v>
      </c>
      <c r="E65" s="125" t="s">
        <v>787</v>
      </c>
      <c r="F65" s="165">
        <v>44333</v>
      </c>
      <c r="G65" s="120" t="s">
        <v>770</v>
      </c>
      <c r="H65" s="166">
        <v>90000000</v>
      </c>
      <c r="I65" s="125" t="s">
        <v>860</v>
      </c>
      <c r="J65" s="125" t="s">
        <v>770</v>
      </c>
    </row>
    <row r="66" spans="2:10" ht="12" x14ac:dyDescent="0.15">
      <c r="B66" s="123">
        <v>1</v>
      </c>
      <c r="C66" s="164" t="s">
        <v>28</v>
      </c>
      <c r="D66" s="125" t="s">
        <v>797</v>
      </c>
      <c r="E66" s="125" t="s">
        <v>787</v>
      </c>
      <c r="F66" s="165">
        <v>44347</v>
      </c>
      <c r="G66" s="120" t="s">
        <v>770</v>
      </c>
      <c r="H66" s="166">
        <v>70888888</v>
      </c>
      <c r="I66" s="125" t="s">
        <v>861</v>
      </c>
      <c r="J66" s="125" t="s">
        <v>770</v>
      </c>
    </row>
    <row r="67" spans="2:10" ht="21.75" x14ac:dyDescent="0.15">
      <c r="B67" s="123">
        <v>1</v>
      </c>
      <c r="C67" s="164" t="s">
        <v>28</v>
      </c>
      <c r="D67" s="125" t="s">
        <v>797</v>
      </c>
      <c r="E67" s="125" t="s">
        <v>787</v>
      </c>
      <c r="F67" s="165">
        <v>44347</v>
      </c>
      <c r="G67" s="120" t="s">
        <v>770</v>
      </c>
      <c r="H67" s="166">
        <v>102666666</v>
      </c>
      <c r="I67" s="125" t="s">
        <v>862</v>
      </c>
      <c r="J67" s="125" t="s">
        <v>770</v>
      </c>
    </row>
    <row r="68" spans="2:10" ht="21.75" x14ac:dyDescent="0.15">
      <c r="B68" s="123">
        <v>1</v>
      </c>
      <c r="C68" s="164" t="s">
        <v>28</v>
      </c>
      <c r="D68" s="125" t="s">
        <v>797</v>
      </c>
      <c r="E68" s="125" t="s">
        <v>787</v>
      </c>
      <c r="F68" s="165">
        <v>44347</v>
      </c>
      <c r="G68" s="120" t="s">
        <v>770</v>
      </c>
      <c r="H68" s="166">
        <v>18333333</v>
      </c>
      <c r="I68" s="125" t="s">
        <v>863</v>
      </c>
      <c r="J68" s="125" t="s">
        <v>770</v>
      </c>
    </row>
    <row r="69" spans="2:10" ht="21.75" x14ac:dyDescent="0.15">
      <c r="B69" s="123">
        <v>1</v>
      </c>
      <c r="C69" s="164" t="s">
        <v>28</v>
      </c>
      <c r="D69" s="125" t="s">
        <v>797</v>
      </c>
      <c r="E69" s="125" t="s">
        <v>787</v>
      </c>
      <c r="F69" s="165">
        <v>44347</v>
      </c>
      <c r="G69" s="120" t="s">
        <v>770</v>
      </c>
      <c r="H69" s="166">
        <v>52000000</v>
      </c>
      <c r="I69" s="125" t="s">
        <v>864</v>
      </c>
      <c r="J69" s="125" t="s">
        <v>770</v>
      </c>
    </row>
    <row r="70" spans="2:10" ht="21.75" x14ac:dyDescent="0.15">
      <c r="B70" s="123">
        <v>1</v>
      </c>
      <c r="C70" s="164" t="s">
        <v>28</v>
      </c>
      <c r="D70" s="125" t="s">
        <v>797</v>
      </c>
      <c r="E70" s="125" t="s">
        <v>787</v>
      </c>
      <c r="F70" s="165">
        <v>44347</v>
      </c>
      <c r="G70" s="120" t="s">
        <v>770</v>
      </c>
      <c r="H70" s="166">
        <v>70888888</v>
      </c>
      <c r="I70" s="125" t="s">
        <v>865</v>
      </c>
      <c r="J70" s="125" t="s">
        <v>770</v>
      </c>
    </row>
    <row r="71" spans="2:10" ht="21.75" x14ac:dyDescent="0.15">
      <c r="B71" s="123">
        <v>1</v>
      </c>
      <c r="C71" s="164" t="s">
        <v>28</v>
      </c>
      <c r="D71" s="125" t="s">
        <v>797</v>
      </c>
      <c r="E71" s="125" t="s">
        <v>787</v>
      </c>
      <c r="F71" s="165">
        <v>44347</v>
      </c>
      <c r="G71" s="120" t="s">
        <v>770</v>
      </c>
      <c r="H71" s="166">
        <v>70888888</v>
      </c>
      <c r="I71" s="125" t="s">
        <v>866</v>
      </c>
      <c r="J71" s="125" t="s">
        <v>770</v>
      </c>
    </row>
    <row r="72" spans="2:10" ht="12" x14ac:dyDescent="0.15">
      <c r="B72" s="123">
        <v>1</v>
      </c>
      <c r="C72" s="164" t="s">
        <v>28</v>
      </c>
      <c r="D72" s="125" t="s">
        <v>797</v>
      </c>
      <c r="E72" s="125" t="s">
        <v>787</v>
      </c>
      <c r="F72" s="165">
        <v>44347</v>
      </c>
      <c r="G72" s="120" t="s">
        <v>770</v>
      </c>
      <c r="H72" s="166">
        <v>58666666</v>
      </c>
      <c r="I72" s="125" t="s">
        <v>867</v>
      </c>
      <c r="J72" s="125" t="s">
        <v>770</v>
      </c>
    </row>
    <row r="73" spans="2:10" ht="12" x14ac:dyDescent="0.15">
      <c r="B73" s="123">
        <v>1</v>
      </c>
      <c r="C73" s="164" t="s">
        <v>28</v>
      </c>
      <c r="D73" s="125" t="s">
        <v>797</v>
      </c>
      <c r="E73" s="125" t="s">
        <v>787</v>
      </c>
      <c r="F73" s="165">
        <v>44347</v>
      </c>
      <c r="G73" s="120" t="s">
        <v>770</v>
      </c>
      <c r="H73" s="166">
        <v>53777777</v>
      </c>
      <c r="I73" s="125" t="s">
        <v>868</v>
      </c>
      <c r="J73" s="125" t="s">
        <v>770</v>
      </c>
    </row>
    <row r="74" spans="2:10" ht="21.75" x14ac:dyDescent="0.15">
      <c r="B74" s="123">
        <v>1</v>
      </c>
      <c r="C74" s="164" t="s">
        <v>28</v>
      </c>
      <c r="D74" s="125" t="s">
        <v>797</v>
      </c>
      <c r="E74" s="125" t="s">
        <v>787</v>
      </c>
      <c r="F74" s="165">
        <v>44347</v>
      </c>
      <c r="G74" s="120" t="s">
        <v>770</v>
      </c>
      <c r="H74" s="166">
        <v>39111111</v>
      </c>
      <c r="I74" s="125" t="s">
        <v>869</v>
      </c>
      <c r="J74" s="125" t="s">
        <v>770</v>
      </c>
    </row>
    <row r="75" spans="2:10" ht="12" x14ac:dyDescent="0.15">
      <c r="B75" s="123">
        <v>1</v>
      </c>
      <c r="C75" s="164" t="s">
        <v>28</v>
      </c>
      <c r="D75" s="125" t="s">
        <v>797</v>
      </c>
      <c r="E75" s="125" t="s">
        <v>787</v>
      </c>
      <c r="F75" s="165">
        <v>44347</v>
      </c>
      <c r="G75" s="120" t="s">
        <v>770</v>
      </c>
      <c r="H75" s="166">
        <v>3800000</v>
      </c>
      <c r="I75" s="125" t="s">
        <v>870</v>
      </c>
      <c r="J75" s="125" t="s">
        <v>770</v>
      </c>
    </row>
    <row r="76" spans="2:10" ht="21.75" x14ac:dyDescent="0.15">
      <c r="B76" s="123">
        <v>1</v>
      </c>
      <c r="C76" s="164" t="s">
        <v>28</v>
      </c>
      <c r="D76" s="125" t="s">
        <v>797</v>
      </c>
      <c r="E76" s="125" t="s">
        <v>787</v>
      </c>
      <c r="F76" s="165">
        <v>44347</v>
      </c>
      <c r="G76" s="120" t="s">
        <v>770</v>
      </c>
      <c r="H76" s="166">
        <v>1000000</v>
      </c>
      <c r="I76" s="125" t="s">
        <v>871</v>
      </c>
      <c r="J76" s="125" t="s">
        <v>770</v>
      </c>
    </row>
    <row r="77" spans="2:10" ht="21.75" x14ac:dyDescent="0.15">
      <c r="B77" s="123">
        <v>1</v>
      </c>
      <c r="C77" s="164" t="s">
        <v>28</v>
      </c>
      <c r="D77" s="125" t="s">
        <v>797</v>
      </c>
      <c r="E77" s="125" t="s">
        <v>787</v>
      </c>
      <c r="F77" s="165">
        <v>44347</v>
      </c>
      <c r="G77" s="120" t="s">
        <v>770</v>
      </c>
      <c r="H77" s="166">
        <v>1000000</v>
      </c>
      <c r="I77" s="125" t="s">
        <v>872</v>
      </c>
      <c r="J77" s="125" t="s">
        <v>770</v>
      </c>
    </row>
    <row r="78" spans="2:10" ht="12" x14ac:dyDescent="0.15">
      <c r="B78" s="123">
        <v>1</v>
      </c>
      <c r="C78" s="164" t="s">
        <v>28</v>
      </c>
      <c r="D78" s="125" t="s">
        <v>797</v>
      </c>
      <c r="E78" s="125" t="s">
        <v>787</v>
      </c>
      <c r="F78" s="165">
        <v>44347</v>
      </c>
      <c r="G78" s="120" t="s">
        <v>770</v>
      </c>
      <c r="H78" s="166">
        <v>1000000</v>
      </c>
      <c r="I78" s="125" t="s">
        <v>873</v>
      </c>
      <c r="J78" s="125" t="s">
        <v>770</v>
      </c>
    </row>
    <row r="79" spans="2:10" ht="12" x14ac:dyDescent="0.15">
      <c r="B79" s="123">
        <v>1</v>
      </c>
      <c r="C79" s="164" t="s">
        <v>28</v>
      </c>
      <c r="D79" s="125" t="s">
        <v>797</v>
      </c>
      <c r="E79" s="125" t="s">
        <v>787</v>
      </c>
      <c r="F79" s="165">
        <v>44347</v>
      </c>
      <c r="G79" s="120" t="s">
        <v>770</v>
      </c>
      <c r="H79" s="166">
        <v>1000000</v>
      </c>
      <c r="I79" s="125" t="s">
        <v>874</v>
      </c>
      <c r="J79" s="125" t="s">
        <v>770</v>
      </c>
    </row>
    <row r="80" spans="2:10" ht="12" x14ac:dyDescent="0.15">
      <c r="B80" s="123">
        <v>1</v>
      </c>
      <c r="C80" s="164" t="s">
        <v>28</v>
      </c>
      <c r="D80" s="125" t="s">
        <v>797</v>
      </c>
      <c r="E80" s="125" t="s">
        <v>787</v>
      </c>
      <c r="F80" s="165">
        <v>44347</v>
      </c>
      <c r="G80" s="120" t="s">
        <v>770</v>
      </c>
      <c r="H80" s="166">
        <v>1800000</v>
      </c>
      <c r="I80" s="125" t="s">
        <v>875</v>
      </c>
      <c r="J80" s="125" t="s">
        <v>770</v>
      </c>
    </row>
    <row r="81" spans="2:10" ht="12" x14ac:dyDescent="0.15">
      <c r="B81" s="123">
        <v>1</v>
      </c>
      <c r="C81" s="164" t="s">
        <v>28</v>
      </c>
      <c r="D81" s="125" t="s">
        <v>797</v>
      </c>
      <c r="E81" s="125" t="s">
        <v>787</v>
      </c>
      <c r="F81" s="165">
        <v>44347</v>
      </c>
      <c r="G81" s="120" t="s">
        <v>770</v>
      </c>
      <c r="H81" s="166">
        <v>650000</v>
      </c>
      <c r="I81" s="125" t="s">
        <v>876</v>
      </c>
      <c r="J81" s="125" t="s">
        <v>770</v>
      </c>
    </row>
    <row r="82" spans="2:10" ht="12" x14ac:dyDescent="0.15">
      <c r="B82" s="123">
        <v>1</v>
      </c>
      <c r="C82" s="164" t="s">
        <v>28</v>
      </c>
      <c r="D82" s="125" t="s">
        <v>797</v>
      </c>
      <c r="E82" s="125" t="s">
        <v>787</v>
      </c>
      <c r="F82" s="165">
        <v>44347</v>
      </c>
      <c r="G82" s="120" t="s">
        <v>770</v>
      </c>
      <c r="H82" s="166">
        <v>1800000</v>
      </c>
      <c r="I82" s="125" t="s">
        <v>877</v>
      </c>
      <c r="J82" s="125" t="s">
        <v>770</v>
      </c>
    </row>
    <row r="83" spans="2:10" ht="12" x14ac:dyDescent="0.15">
      <c r="B83" s="123">
        <v>1</v>
      </c>
      <c r="C83" s="164" t="s">
        <v>28</v>
      </c>
      <c r="D83" s="125" t="s">
        <v>797</v>
      </c>
      <c r="E83" s="125" t="s">
        <v>787</v>
      </c>
      <c r="F83" s="165">
        <v>44347</v>
      </c>
      <c r="G83" s="120" t="s">
        <v>770</v>
      </c>
      <c r="H83" s="166">
        <v>700000</v>
      </c>
      <c r="I83" s="125" t="s">
        <v>878</v>
      </c>
      <c r="J83" s="125" t="s">
        <v>770</v>
      </c>
    </row>
    <row r="84" spans="2:10" ht="21.75" x14ac:dyDescent="0.15">
      <c r="B84" s="123">
        <v>1</v>
      </c>
      <c r="C84" s="164" t="s">
        <v>28</v>
      </c>
      <c r="D84" s="125" t="s">
        <v>797</v>
      </c>
      <c r="E84" s="125" t="s">
        <v>787</v>
      </c>
      <c r="F84" s="165">
        <v>44347</v>
      </c>
      <c r="G84" s="120" t="s">
        <v>770</v>
      </c>
      <c r="H84" s="166">
        <v>9116120</v>
      </c>
      <c r="I84" s="125" t="s">
        <v>879</v>
      </c>
      <c r="J84" s="125" t="s">
        <v>770</v>
      </c>
    </row>
    <row r="85" spans="2:10" ht="12" x14ac:dyDescent="0.15">
      <c r="B85" s="123">
        <v>1</v>
      </c>
      <c r="C85" s="164" t="s">
        <v>28</v>
      </c>
      <c r="D85" s="125" t="s">
        <v>797</v>
      </c>
      <c r="E85" s="125" t="s">
        <v>787</v>
      </c>
      <c r="F85" s="165">
        <v>44347</v>
      </c>
      <c r="G85" s="120" t="s">
        <v>770</v>
      </c>
      <c r="H85" s="166">
        <v>2550000</v>
      </c>
      <c r="I85" s="125" t="s">
        <v>880</v>
      </c>
      <c r="J85" s="125" t="s">
        <v>770</v>
      </c>
    </row>
    <row r="86" spans="2:10" ht="12" x14ac:dyDescent="0.15">
      <c r="B86" s="123">
        <v>1</v>
      </c>
      <c r="C86" s="164" t="s">
        <v>28</v>
      </c>
      <c r="D86" s="125" t="s">
        <v>797</v>
      </c>
      <c r="E86" s="125" t="s">
        <v>787</v>
      </c>
      <c r="F86" s="165">
        <v>44319</v>
      </c>
      <c r="G86" s="120" t="s">
        <v>770</v>
      </c>
      <c r="H86" s="166">
        <v>29906210</v>
      </c>
      <c r="I86" s="125" t="s">
        <v>881</v>
      </c>
      <c r="J86" s="125" t="s">
        <v>770</v>
      </c>
    </row>
    <row r="87" spans="2:10" ht="12" x14ac:dyDescent="0.15">
      <c r="B87" s="123">
        <v>1</v>
      </c>
      <c r="C87" s="164" t="s">
        <v>28</v>
      </c>
      <c r="D87" s="125" t="s">
        <v>797</v>
      </c>
      <c r="E87" s="125" t="s">
        <v>787</v>
      </c>
      <c r="F87" s="165">
        <v>44344</v>
      </c>
      <c r="G87" s="120" t="s">
        <v>770</v>
      </c>
      <c r="H87" s="166">
        <v>29906720</v>
      </c>
      <c r="I87" s="125" t="s">
        <v>882</v>
      </c>
      <c r="J87" s="125" t="s">
        <v>770</v>
      </c>
    </row>
    <row r="88" spans="2:10" ht="12" x14ac:dyDescent="0.15">
      <c r="B88" s="123">
        <v>1</v>
      </c>
      <c r="C88" s="164" t="s">
        <v>28</v>
      </c>
      <c r="D88" s="125" t="s">
        <v>797</v>
      </c>
      <c r="E88" s="125" t="s">
        <v>787</v>
      </c>
      <c r="F88" s="165">
        <v>44377</v>
      </c>
      <c r="G88" s="120" t="s">
        <v>770</v>
      </c>
      <c r="H88" s="166">
        <v>11111111</v>
      </c>
      <c r="I88" s="125" t="s">
        <v>883</v>
      </c>
      <c r="J88" s="125" t="s">
        <v>770</v>
      </c>
    </row>
    <row r="89" spans="2:10" ht="12" x14ac:dyDescent="0.15">
      <c r="B89" s="123">
        <v>1</v>
      </c>
      <c r="C89" s="164" t="s">
        <v>28</v>
      </c>
      <c r="D89" s="125" t="s">
        <v>797</v>
      </c>
      <c r="E89" s="125" t="s">
        <v>787</v>
      </c>
      <c r="F89" s="165">
        <v>44377</v>
      </c>
      <c r="G89" s="120" t="s">
        <v>770</v>
      </c>
      <c r="H89" s="166">
        <v>6750000</v>
      </c>
      <c r="I89" s="125" t="s">
        <v>884</v>
      </c>
      <c r="J89" s="125" t="s">
        <v>770</v>
      </c>
    </row>
    <row r="90" spans="2:10" ht="21.75" x14ac:dyDescent="0.15">
      <c r="B90" s="123">
        <v>1</v>
      </c>
      <c r="C90" s="164" t="s">
        <v>28</v>
      </c>
      <c r="D90" s="125" t="s">
        <v>797</v>
      </c>
      <c r="E90" s="125" t="s">
        <v>787</v>
      </c>
      <c r="F90" s="165">
        <v>44377</v>
      </c>
      <c r="G90" s="120" t="s">
        <v>770</v>
      </c>
      <c r="H90" s="166">
        <v>8103218</v>
      </c>
      <c r="I90" s="125" t="s">
        <v>885</v>
      </c>
      <c r="J90" s="125" t="s">
        <v>770</v>
      </c>
    </row>
    <row r="91" spans="2:10" ht="12" x14ac:dyDescent="0.15">
      <c r="B91" s="123">
        <v>1</v>
      </c>
      <c r="C91" s="164" t="s">
        <v>28</v>
      </c>
      <c r="D91" s="125" t="s">
        <v>797</v>
      </c>
      <c r="E91" s="125" t="s">
        <v>787</v>
      </c>
      <c r="F91" s="165">
        <v>44377</v>
      </c>
      <c r="G91" s="120" t="s">
        <v>770</v>
      </c>
      <c r="H91" s="166">
        <v>26888888</v>
      </c>
      <c r="I91" s="125" t="s">
        <v>886</v>
      </c>
      <c r="J91" s="125" t="s">
        <v>770</v>
      </c>
    </row>
    <row r="92" spans="2:10" ht="21.75" x14ac:dyDescent="0.15">
      <c r="B92" s="123">
        <v>1</v>
      </c>
      <c r="C92" s="164" t="s">
        <v>28</v>
      </c>
      <c r="D92" s="125" t="s">
        <v>797</v>
      </c>
      <c r="E92" s="125" t="s">
        <v>787</v>
      </c>
      <c r="F92" s="165">
        <v>44377</v>
      </c>
      <c r="G92" s="120" t="s">
        <v>770</v>
      </c>
      <c r="H92" s="166">
        <v>26000000</v>
      </c>
      <c r="I92" s="125" t="s">
        <v>887</v>
      </c>
      <c r="J92" s="125" t="s">
        <v>770</v>
      </c>
    </row>
    <row r="93" spans="2:10" ht="12" x14ac:dyDescent="0.15">
      <c r="B93" s="123">
        <v>1</v>
      </c>
      <c r="C93" s="164" t="s">
        <v>28</v>
      </c>
      <c r="D93" s="125" t="s">
        <v>797</v>
      </c>
      <c r="E93" s="125" t="s">
        <v>787</v>
      </c>
      <c r="F93" s="165">
        <v>44377</v>
      </c>
      <c r="G93" s="120" t="s">
        <v>770</v>
      </c>
      <c r="H93" s="166">
        <v>73333333</v>
      </c>
      <c r="I93" s="125" t="s">
        <v>888</v>
      </c>
      <c r="J93" s="125" t="s">
        <v>770</v>
      </c>
    </row>
    <row r="94" spans="2:10" ht="21.75" x14ac:dyDescent="0.15">
      <c r="B94" s="123">
        <v>1</v>
      </c>
      <c r="C94" s="164" t="s">
        <v>28</v>
      </c>
      <c r="D94" s="125" t="s">
        <v>797</v>
      </c>
      <c r="E94" s="125" t="s">
        <v>787</v>
      </c>
      <c r="F94" s="165">
        <v>44377</v>
      </c>
      <c r="G94" s="120" t="s">
        <v>770</v>
      </c>
      <c r="H94" s="166">
        <v>3160000</v>
      </c>
      <c r="I94" s="125" t="s">
        <v>889</v>
      </c>
      <c r="J94" s="125" t="s">
        <v>770</v>
      </c>
    </row>
    <row r="95" spans="2:10" ht="21.75" x14ac:dyDescent="0.15">
      <c r="B95" s="123">
        <v>1</v>
      </c>
      <c r="C95" s="164" t="s">
        <v>28</v>
      </c>
      <c r="D95" s="125" t="s">
        <v>797</v>
      </c>
      <c r="E95" s="125" t="s">
        <v>787</v>
      </c>
      <c r="F95" s="165">
        <v>44377</v>
      </c>
      <c r="G95" s="120" t="s">
        <v>770</v>
      </c>
      <c r="H95" s="166">
        <v>5000000</v>
      </c>
      <c r="I95" s="125" t="s">
        <v>890</v>
      </c>
      <c r="J95" s="125" t="s">
        <v>770</v>
      </c>
    </row>
    <row r="96" spans="2:10" ht="21.75" x14ac:dyDescent="0.15">
      <c r="B96" s="123">
        <v>1</v>
      </c>
      <c r="C96" s="164" t="s">
        <v>28</v>
      </c>
      <c r="D96" s="125" t="s">
        <v>797</v>
      </c>
      <c r="E96" s="125" t="s">
        <v>787</v>
      </c>
      <c r="F96" s="165">
        <v>44361</v>
      </c>
      <c r="G96" s="120" t="s">
        <v>770</v>
      </c>
      <c r="H96" s="166">
        <v>20000039</v>
      </c>
      <c r="I96" s="125" t="s">
        <v>891</v>
      </c>
      <c r="J96" s="125" t="s">
        <v>770</v>
      </c>
    </row>
    <row r="97" spans="2:10" ht="21.75" x14ac:dyDescent="0.15">
      <c r="B97" s="123">
        <v>1</v>
      </c>
      <c r="C97" s="164" t="s">
        <v>28</v>
      </c>
      <c r="D97" s="125" t="s">
        <v>797</v>
      </c>
      <c r="E97" s="125" t="s">
        <v>787</v>
      </c>
      <c r="F97" s="165">
        <v>44361</v>
      </c>
      <c r="G97" s="120" t="s">
        <v>770</v>
      </c>
      <c r="H97" s="166">
        <v>55999991</v>
      </c>
      <c r="I97" s="125" t="s">
        <v>892</v>
      </c>
      <c r="J97" s="125" t="s">
        <v>770</v>
      </c>
    </row>
    <row r="98" spans="2:10" ht="21.75" x14ac:dyDescent="0.15">
      <c r="B98" s="123">
        <v>1</v>
      </c>
      <c r="C98" s="164" t="s">
        <v>28</v>
      </c>
      <c r="D98" s="125" t="s">
        <v>797</v>
      </c>
      <c r="E98" s="125" t="s">
        <v>787</v>
      </c>
      <c r="F98" s="165">
        <v>44361</v>
      </c>
      <c r="G98" s="120" t="s">
        <v>770</v>
      </c>
      <c r="H98" s="166">
        <v>23999968</v>
      </c>
      <c r="I98" s="125" t="s">
        <v>893</v>
      </c>
      <c r="J98" s="125" t="s">
        <v>770</v>
      </c>
    </row>
    <row r="99" spans="2:10" ht="21.75" x14ac:dyDescent="0.15">
      <c r="B99" s="123">
        <v>1</v>
      </c>
      <c r="C99" s="164" t="s">
        <v>28</v>
      </c>
      <c r="D99" s="125" t="s">
        <v>797</v>
      </c>
      <c r="E99" s="125" t="s">
        <v>787</v>
      </c>
      <c r="F99" s="165">
        <v>44361</v>
      </c>
      <c r="G99" s="120" t="s">
        <v>770</v>
      </c>
      <c r="H99" s="166">
        <v>32000023</v>
      </c>
      <c r="I99" s="125" t="s">
        <v>894</v>
      </c>
      <c r="J99" s="125" t="s">
        <v>770</v>
      </c>
    </row>
    <row r="100" spans="2:10" ht="21.75" x14ac:dyDescent="0.15">
      <c r="B100" s="123">
        <v>1</v>
      </c>
      <c r="C100" s="164" t="s">
        <v>28</v>
      </c>
      <c r="D100" s="125" t="s">
        <v>797</v>
      </c>
      <c r="E100" s="125" t="s">
        <v>787</v>
      </c>
      <c r="F100" s="165">
        <v>44408</v>
      </c>
      <c r="G100" s="120" t="s">
        <v>770</v>
      </c>
      <c r="H100" s="166">
        <v>91686168</v>
      </c>
      <c r="I100" s="125" t="s">
        <v>895</v>
      </c>
      <c r="J100" s="125" t="s">
        <v>770</v>
      </c>
    </row>
    <row r="101" spans="2:10" ht="21.75" x14ac:dyDescent="0.15">
      <c r="B101" s="123">
        <v>1</v>
      </c>
      <c r="C101" s="164" t="s">
        <v>28</v>
      </c>
      <c r="D101" s="125" t="s">
        <v>797</v>
      </c>
      <c r="E101" s="125" t="s">
        <v>787</v>
      </c>
      <c r="F101" s="165">
        <v>44408</v>
      </c>
      <c r="G101" s="120" t="s">
        <v>770</v>
      </c>
      <c r="H101" s="166">
        <v>126898668</v>
      </c>
      <c r="I101" s="125" t="s">
        <v>896</v>
      </c>
      <c r="J101" s="125" t="s">
        <v>770</v>
      </c>
    </row>
    <row r="102" spans="2:10" ht="21.75" x14ac:dyDescent="0.15">
      <c r="B102" s="123">
        <v>1</v>
      </c>
      <c r="C102" s="164" t="s">
        <v>28</v>
      </c>
      <c r="D102" s="125" t="s">
        <v>797</v>
      </c>
      <c r="E102" s="125" t="s">
        <v>787</v>
      </c>
      <c r="F102" s="165">
        <v>44408</v>
      </c>
      <c r="G102" s="120" t="s">
        <v>770</v>
      </c>
      <c r="H102" s="166">
        <v>155086833</v>
      </c>
      <c r="I102" s="125" t="s">
        <v>897</v>
      </c>
      <c r="J102" s="125" t="s">
        <v>770</v>
      </c>
    </row>
    <row r="103" spans="2:10" ht="21.75" x14ac:dyDescent="0.15">
      <c r="B103" s="123">
        <v>1</v>
      </c>
      <c r="C103" s="164" t="s">
        <v>28</v>
      </c>
      <c r="D103" s="125" t="s">
        <v>797</v>
      </c>
      <c r="E103" s="125" t="s">
        <v>787</v>
      </c>
      <c r="F103" s="165">
        <v>44408</v>
      </c>
      <c r="G103" s="120" t="s">
        <v>770</v>
      </c>
      <c r="H103" s="166">
        <v>5000000</v>
      </c>
      <c r="I103" s="125" t="s">
        <v>898</v>
      </c>
      <c r="J103" s="125" t="s">
        <v>770</v>
      </c>
    </row>
    <row r="104" spans="2:10" ht="21.75" x14ac:dyDescent="0.15">
      <c r="B104" s="123">
        <v>1</v>
      </c>
      <c r="C104" s="164" t="s">
        <v>28</v>
      </c>
      <c r="D104" s="125" t="s">
        <v>797</v>
      </c>
      <c r="E104" s="125" t="s">
        <v>787</v>
      </c>
      <c r="F104" s="165">
        <v>44392</v>
      </c>
      <c r="G104" s="120" t="s">
        <v>770</v>
      </c>
      <c r="H104" s="166">
        <v>220000000</v>
      </c>
      <c r="I104" s="125" t="s">
        <v>899</v>
      </c>
      <c r="J104" s="125" t="s">
        <v>770</v>
      </c>
    </row>
    <row r="105" spans="2:10" ht="21.75" x14ac:dyDescent="0.15">
      <c r="B105" s="123">
        <v>1</v>
      </c>
      <c r="C105" s="164" t="s">
        <v>28</v>
      </c>
      <c r="D105" s="125" t="s">
        <v>797</v>
      </c>
      <c r="E105" s="125" t="s">
        <v>787</v>
      </c>
      <c r="F105" s="165">
        <v>44392</v>
      </c>
      <c r="G105" s="120" t="s">
        <v>770</v>
      </c>
      <c r="H105" s="166">
        <v>165000000</v>
      </c>
      <c r="I105" s="125" t="s">
        <v>900</v>
      </c>
      <c r="J105" s="125" t="s">
        <v>770</v>
      </c>
    </row>
    <row r="106" spans="2:10" ht="12" x14ac:dyDescent="0.15">
      <c r="B106" s="123">
        <v>1</v>
      </c>
      <c r="C106" s="164" t="s">
        <v>28</v>
      </c>
      <c r="D106" s="125" t="s">
        <v>797</v>
      </c>
      <c r="E106" s="125" t="s">
        <v>787</v>
      </c>
      <c r="F106" s="165">
        <v>44392</v>
      </c>
      <c r="G106" s="120" t="s">
        <v>770</v>
      </c>
      <c r="H106" s="166">
        <v>98755555</v>
      </c>
      <c r="I106" s="125" t="s">
        <v>901</v>
      </c>
      <c r="J106" s="125" t="s">
        <v>770</v>
      </c>
    </row>
    <row r="107" spans="2:10" ht="12" x14ac:dyDescent="0.15">
      <c r="B107" s="123">
        <v>1</v>
      </c>
      <c r="C107" s="164" t="s">
        <v>28</v>
      </c>
      <c r="D107" s="125" t="s">
        <v>797</v>
      </c>
      <c r="E107" s="125" t="s">
        <v>787</v>
      </c>
      <c r="F107" s="165">
        <v>44392</v>
      </c>
      <c r="G107" s="120" t="s">
        <v>770</v>
      </c>
      <c r="H107" s="166">
        <v>44488888</v>
      </c>
      <c r="I107" s="125" t="s">
        <v>902</v>
      </c>
      <c r="J107" s="125" t="s">
        <v>770</v>
      </c>
    </row>
    <row r="108" spans="2:10" ht="21.75" x14ac:dyDescent="0.15">
      <c r="B108" s="123">
        <v>1</v>
      </c>
      <c r="C108" s="164" t="s">
        <v>28</v>
      </c>
      <c r="D108" s="125" t="s">
        <v>797</v>
      </c>
      <c r="E108" s="125" t="s">
        <v>787</v>
      </c>
      <c r="F108" s="165">
        <v>44408</v>
      </c>
      <c r="G108" s="120" t="s">
        <v>770</v>
      </c>
      <c r="H108" s="166">
        <v>20777774</v>
      </c>
      <c r="I108" s="125" t="s">
        <v>903</v>
      </c>
      <c r="J108" s="125" t="s">
        <v>770</v>
      </c>
    </row>
    <row r="109" spans="2:10" ht="21.75" x14ac:dyDescent="0.15">
      <c r="B109" s="123">
        <v>1</v>
      </c>
      <c r="C109" s="164" t="s">
        <v>28</v>
      </c>
      <c r="D109" s="125" t="s">
        <v>797</v>
      </c>
      <c r="E109" s="125" t="s">
        <v>787</v>
      </c>
      <c r="F109" s="165">
        <v>44408</v>
      </c>
      <c r="G109" s="120" t="s">
        <v>770</v>
      </c>
      <c r="H109" s="166">
        <v>20777774</v>
      </c>
      <c r="I109" s="125" t="s">
        <v>904</v>
      </c>
      <c r="J109" s="125" t="s">
        <v>770</v>
      </c>
    </row>
    <row r="110" spans="2:10" ht="21.75" x14ac:dyDescent="0.15">
      <c r="B110" s="123">
        <v>1</v>
      </c>
      <c r="C110" s="164" t="s">
        <v>28</v>
      </c>
      <c r="D110" s="125" t="s">
        <v>797</v>
      </c>
      <c r="E110" s="125" t="s">
        <v>787</v>
      </c>
      <c r="F110" s="165">
        <v>44408</v>
      </c>
      <c r="G110" s="120" t="s">
        <v>770</v>
      </c>
      <c r="H110" s="166">
        <v>148133333</v>
      </c>
      <c r="I110" s="125" t="s">
        <v>905</v>
      </c>
      <c r="J110" s="125" t="s">
        <v>770</v>
      </c>
    </row>
    <row r="111" spans="2:10" ht="12" x14ac:dyDescent="0.15">
      <c r="B111" s="123">
        <v>1</v>
      </c>
      <c r="C111" s="164" t="s">
        <v>28</v>
      </c>
      <c r="D111" s="125" t="s">
        <v>797</v>
      </c>
      <c r="E111" s="125" t="s">
        <v>787</v>
      </c>
      <c r="F111" s="165">
        <v>44408</v>
      </c>
      <c r="G111" s="120" t="s">
        <v>770</v>
      </c>
      <c r="H111" s="166">
        <v>66733333</v>
      </c>
      <c r="I111" s="125" t="s">
        <v>906</v>
      </c>
      <c r="J111" s="125" t="s">
        <v>770</v>
      </c>
    </row>
    <row r="112" spans="2:10" ht="12" x14ac:dyDescent="0.15">
      <c r="B112" s="123">
        <v>1</v>
      </c>
      <c r="C112" s="164" t="s">
        <v>28</v>
      </c>
      <c r="D112" s="125" t="s">
        <v>797</v>
      </c>
      <c r="E112" s="125" t="s">
        <v>787</v>
      </c>
      <c r="F112" s="165">
        <v>44408</v>
      </c>
      <c r="G112" s="120" t="s">
        <v>770</v>
      </c>
      <c r="H112" s="166">
        <v>12466666</v>
      </c>
      <c r="I112" s="125" t="s">
        <v>907</v>
      </c>
      <c r="J112" s="125" t="s">
        <v>770</v>
      </c>
    </row>
    <row r="113" spans="2:10" ht="21.75" x14ac:dyDescent="0.15">
      <c r="B113" s="123">
        <v>1</v>
      </c>
      <c r="C113" s="164" t="s">
        <v>28</v>
      </c>
      <c r="D113" s="125" t="s">
        <v>797</v>
      </c>
      <c r="E113" s="125" t="s">
        <v>787</v>
      </c>
      <c r="F113" s="165">
        <v>44408</v>
      </c>
      <c r="G113" s="120" t="s">
        <v>770</v>
      </c>
      <c r="H113" s="166">
        <v>8311111</v>
      </c>
      <c r="I113" s="125" t="s">
        <v>908</v>
      </c>
      <c r="J113" s="125" t="s">
        <v>770</v>
      </c>
    </row>
    <row r="114" spans="2:10" ht="12" x14ac:dyDescent="0.15">
      <c r="B114" s="123">
        <v>1</v>
      </c>
      <c r="C114" s="164" t="s">
        <v>28</v>
      </c>
      <c r="D114" s="125" t="s">
        <v>797</v>
      </c>
      <c r="E114" s="125" t="s">
        <v>787</v>
      </c>
      <c r="F114" s="165">
        <v>44408</v>
      </c>
      <c r="G114" s="120" t="s">
        <v>770</v>
      </c>
      <c r="H114" s="166">
        <v>6200000</v>
      </c>
      <c r="I114" s="125" t="s">
        <v>909</v>
      </c>
      <c r="J114" s="125" t="s">
        <v>770</v>
      </c>
    </row>
    <row r="115" spans="2:10" ht="21.75" x14ac:dyDescent="0.15">
      <c r="B115" s="123">
        <v>1</v>
      </c>
      <c r="C115" s="164" t="s">
        <v>28</v>
      </c>
      <c r="D115" s="125" t="s">
        <v>797</v>
      </c>
      <c r="E115" s="125" t="s">
        <v>787</v>
      </c>
      <c r="F115" s="165">
        <v>44408</v>
      </c>
      <c r="G115" s="120" t="s">
        <v>770</v>
      </c>
      <c r="H115" s="166">
        <v>1200000</v>
      </c>
      <c r="I115" s="125" t="s">
        <v>910</v>
      </c>
      <c r="J115" s="125" t="s">
        <v>770</v>
      </c>
    </row>
    <row r="116" spans="2:10" ht="12" x14ac:dyDescent="0.15">
      <c r="B116" s="123">
        <v>1</v>
      </c>
      <c r="C116" s="164" t="s">
        <v>28</v>
      </c>
      <c r="D116" s="125" t="s">
        <v>797</v>
      </c>
      <c r="E116" s="125" t="s">
        <v>787</v>
      </c>
      <c r="F116" s="165">
        <v>44408</v>
      </c>
      <c r="G116" s="120" t="s">
        <v>770</v>
      </c>
      <c r="H116" s="166">
        <v>1000000</v>
      </c>
      <c r="I116" s="125" t="s">
        <v>911</v>
      </c>
      <c r="J116" s="125" t="s">
        <v>770</v>
      </c>
    </row>
    <row r="117" spans="2:10" ht="21.75" x14ac:dyDescent="0.15">
      <c r="B117" s="123">
        <v>1</v>
      </c>
      <c r="C117" s="164" t="s">
        <v>28</v>
      </c>
      <c r="D117" s="125" t="s">
        <v>797</v>
      </c>
      <c r="E117" s="125" t="s">
        <v>787</v>
      </c>
      <c r="F117" s="165">
        <v>44408</v>
      </c>
      <c r="G117" s="120" t="s">
        <v>770</v>
      </c>
      <c r="H117" s="166">
        <v>6720000</v>
      </c>
      <c r="I117" s="125" t="s">
        <v>912</v>
      </c>
      <c r="J117" s="125" t="s">
        <v>770</v>
      </c>
    </row>
    <row r="118" spans="2:10" ht="12" x14ac:dyDescent="0.15">
      <c r="B118" s="123">
        <v>1</v>
      </c>
      <c r="C118" s="164" t="s">
        <v>28</v>
      </c>
      <c r="D118" s="125" t="s">
        <v>797</v>
      </c>
      <c r="E118" s="125" t="s">
        <v>787</v>
      </c>
      <c r="F118" s="165">
        <v>44408</v>
      </c>
      <c r="G118" s="120" t="s">
        <v>770</v>
      </c>
      <c r="H118" s="166">
        <v>210000</v>
      </c>
      <c r="I118" s="125" t="s">
        <v>913</v>
      </c>
      <c r="J118" s="125" t="s">
        <v>770</v>
      </c>
    </row>
    <row r="119" spans="2:10" ht="12" x14ac:dyDescent="0.15">
      <c r="B119" s="123">
        <v>1</v>
      </c>
      <c r="C119" s="164" t="s">
        <v>28</v>
      </c>
      <c r="D119" s="125" t="s">
        <v>797</v>
      </c>
      <c r="E119" s="125" t="s">
        <v>787</v>
      </c>
      <c r="F119" s="165">
        <v>44408</v>
      </c>
      <c r="G119" s="120" t="s">
        <v>770</v>
      </c>
      <c r="H119" s="166">
        <v>10000000</v>
      </c>
      <c r="I119" s="125" t="s">
        <v>914</v>
      </c>
      <c r="J119" s="125" t="s">
        <v>770</v>
      </c>
    </row>
    <row r="120" spans="2:10" ht="12" x14ac:dyDescent="0.15">
      <c r="B120" s="123">
        <v>1</v>
      </c>
      <c r="C120" s="164" t="s">
        <v>28</v>
      </c>
      <c r="D120" s="125" t="s">
        <v>797</v>
      </c>
      <c r="E120" s="125" t="s">
        <v>787</v>
      </c>
      <c r="F120" s="165">
        <v>44408</v>
      </c>
      <c r="G120" s="120" t="s">
        <v>770</v>
      </c>
      <c r="H120" s="166">
        <v>3000000</v>
      </c>
      <c r="I120" s="125" t="s">
        <v>915</v>
      </c>
      <c r="J120" s="125" t="s">
        <v>770</v>
      </c>
    </row>
    <row r="121" spans="2:10" ht="12" x14ac:dyDescent="0.15">
      <c r="B121" s="123">
        <v>1</v>
      </c>
      <c r="C121" s="164" t="s">
        <v>28</v>
      </c>
      <c r="D121" s="125" t="s">
        <v>797</v>
      </c>
      <c r="E121" s="125" t="s">
        <v>787</v>
      </c>
      <c r="F121" s="165">
        <v>44408</v>
      </c>
      <c r="G121" s="120" t="s">
        <v>770</v>
      </c>
      <c r="H121" s="166">
        <v>17750000</v>
      </c>
      <c r="I121" s="125" t="s">
        <v>916</v>
      </c>
      <c r="J121" s="125" t="s">
        <v>770</v>
      </c>
    </row>
    <row r="122" spans="2:10" ht="12" x14ac:dyDescent="0.15">
      <c r="B122" s="123">
        <v>1</v>
      </c>
      <c r="C122" s="164" t="s">
        <v>28</v>
      </c>
      <c r="D122" s="125" t="s">
        <v>797</v>
      </c>
      <c r="E122" s="125" t="s">
        <v>787</v>
      </c>
      <c r="F122" s="165">
        <v>44408</v>
      </c>
      <c r="G122" s="120" t="s">
        <v>770</v>
      </c>
      <c r="H122" s="166">
        <v>6000000</v>
      </c>
      <c r="I122" s="125" t="s">
        <v>917</v>
      </c>
      <c r="J122" s="125" t="s">
        <v>770</v>
      </c>
    </row>
    <row r="123" spans="2:10" ht="12" x14ac:dyDescent="0.15">
      <c r="B123" s="123">
        <v>1</v>
      </c>
      <c r="C123" s="164" t="s">
        <v>28</v>
      </c>
      <c r="D123" s="125" t="s">
        <v>797</v>
      </c>
      <c r="E123" s="125" t="s">
        <v>787</v>
      </c>
      <c r="F123" s="165">
        <v>44408</v>
      </c>
      <c r="G123" s="120" t="s">
        <v>770</v>
      </c>
      <c r="H123" s="166">
        <v>200000</v>
      </c>
      <c r="I123" s="125" t="s">
        <v>918</v>
      </c>
      <c r="J123" s="125" t="s">
        <v>770</v>
      </c>
    </row>
    <row r="124" spans="2:10" ht="21.75" x14ac:dyDescent="0.15">
      <c r="B124" s="123">
        <v>1</v>
      </c>
      <c r="C124" s="164" t="s">
        <v>28</v>
      </c>
      <c r="D124" s="125" t="s">
        <v>797</v>
      </c>
      <c r="E124" s="125" t="s">
        <v>787</v>
      </c>
      <c r="F124" s="165">
        <v>44408</v>
      </c>
      <c r="G124" s="120" t="s">
        <v>770</v>
      </c>
      <c r="H124" s="166">
        <v>300000</v>
      </c>
      <c r="I124" s="125" t="s">
        <v>919</v>
      </c>
      <c r="J124" s="125" t="s">
        <v>770</v>
      </c>
    </row>
    <row r="125" spans="2:10" ht="12" x14ac:dyDescent="0.15">
      <c r="B125" s="123">
        <v>1</v>
      </c>
      <c r="C125" s="164" t="s">
        <v>28</v>
      </c>
      <c r="D125" s="125" t="s">
        <v>797</v>
      </c>
      <c r="E125" s="125" t="s">
        <v>787</v>
      </c>
      <c r="F125" s="165">
        <v>44408</v>
      </c>
      <c r="G125" s="120" t="s">
        <v>770</v>
      </c>
      <c r="H125" s="166">
        <v>5200000</v>
      </c>
      <c r="I125" s="125" t="s">
        <v>920</v>
      </c>
      <c r="J125" s="125" t="s">
        <v>770</v>
      </c>
    </row>
    <row r="126" spans="2:10" ht="12" x14ac:dyDescent="0.15">
      <c r="B126" s="123">
        <v>1</v>
      </c>
      <c r="C126" s="164" t="s">
        <v>28</v>
      </c>
      <c r="D126" s="125" t="s">
        <v>797</v>
      </c>
      <c r="E126" s="125" t="s">
        <v>787</v>
      </c>
      <c r="F126" s="165">
        <v>44408</v>
      </c>
      <c r="G126" s="120" t="s">
        <v>770</v>
      </c>
      <c r="H126" s="166">
        <v>635000</v>
      </c>
      <c r="I126" s="125" t="s">
        <v>921</v>
      </c>
      <c r="J126" s="125" t="s">
        <v>770</v>
      </c>
    </row>
    <row r="127" spans="2:10" ht="12" x14ac:dyDescent="0.15">
      <c r="B127" s="123">
        <v>1</v>
      </c>
      <c r="C127" s="164" t="s">
        <v>28</v>
      </c>
      <c r="D127" s="125" t="s">
        <v>797</v>
      </c>
      <c r="E127" s="125" t="s">
        <v>787</v>
      </c>
      <c r="F127" s="165">
        <v>44408</v>
      </c>
      <c r="G127" s="120" t="s">
        <v>770</v>
      </c>
      <c r="H127" s="166">
        <v>1600000</v>
      </c>
      <c r="I127" s="125" t="s">
        <v>922</v>
      </c>
      <c r="J127" s="125" t="s">
        <v>770</v>
      </c>
    </row>
    <row r="128" spans="2:10" ht="12" x14ac:dyDescent="0.15">
      <c r="B128" s="123">
        <v>1</v>
      </c>
      <c r="C128" s="164" t="s">
        <v>28</v>
      </c>
      <c r="D128" s="125" t="s">
        <v>797</v>
      </c>
      <c r="E128" s="125" t="s">
        <v>787</v>
      </c>
      <c r="F128" s="165">
        <v>44408</v>
      </c>
      <c r="G128" s="120" t="s">
        <v>770</v>
      </c>
      <c r="H128" s="166">
        <v>3309000</v>
      </c>
      <c r="I128" s="125" t="s">
        <v>923</v>
      </c>
      <c r="J128" s="125" t="s">
        <v>770</v>
      </c>
    </row>
    <row r="129" spans="2:10" ht="12" x14ac:dyDescent="0.15">
      <c r="B129" s="123">
        <v>1</v>
      </c>
      <c r="C129" s="164" t="s">
        <v>28</v>
      </c>
      <c r="D129" s="125" t="s">
        <v>797</v>
      </c>
      <c r="E129" s="125" t="s">
        <v>787</v>
      </c>
      <c r="F129" s="165">
        <v>44408</v>
      </c>
      <c r="G129" s="120" t="s">
        <v>770</v>
      </c>
      <c r="H129" s="166">
        <v>25000000</v>
      </c>
      <c r="I129" s="125" t="s">
        <v>924</v>
      </c>
      <c r="J129" s="125" t="s">
        <v>770</v>
      </c>
    </row>
    <row r="130" spans="2:10" ht="12" x14ac:dyDescent="0.15">
      <c r="B130" s="123">
        <v>1</v>
      </c>
      <c r="C130" s="164" t="s">
        <v>28</v>
      </c>
      <c r="D130" s="125" t="s">
        <v>797</v>
      </c>
      <c r="E130" s="125" t="s">
        <v>787</v>
      </c>
      <c r="F130" s="165">
        <v>44408</v>
      </c>
      <c r="G130" s="120" t="s">
        <v>770</v>
      </c>
      <c r="H130" s="166">
        <v>820000</v>
      </c>
      <c r="I130" s="125" t="s">
        <v>925</v>
      </c>
      <c r="J130" s="125" t="s">
        <v>770</v>
      </c>
    </row>
    <row r="131" spans="2:10" ht="12" x14ac:dyDescent="0.15">
      <c r="B131" s="123">
        <v>1</v>
      </c>
      <c r="C131" s="164" t="s">
        <v>28</v>
      </c>
      <c r="D131" s="125" t="s">
        <v>797</v>
      </c>
      <c r="E131" s="125" t="s">
        <v>787</v>
      </c>
      <c r="F131" s="165">
        <v>44408</v>
      </c>
      <c r="G131" s="120" t="s">
        <v>770</v>
      </c>
      <c r="H131" s="166">
        <v>8900000</v>
      </c>
      <c r="I131" s="125" t="s">
        <v>926</v>
      </c>
      <c r="J131" s="125" t="s">
        <v>770</v>
      </c>
    </row>
    <row r="132" spans="2:10" ht="12" x14ac:dyDescent="0.15">
      <c r="B132" s="123">
        <v>1</v>
      </c>
      <c r="C132" s="164" t="s">
        <v>28</v>
      </c>
      <c r="D132" s="125" t="s">
        <v>797</v>
      </c>
      <c r="E132" s="125" t="s">
        <v>787</v>
      </c>
      <c r="F132" s="165">
        <v>44408</v>
      </c>
      <c r="G132" s="120" t="s">
        <v>770</v>
      </c>
      <c r="H132" s="166">
        <v>5250000</v>
      </c>
      <c r="I132" s="125" t="s">
        <v>927</v>
      </c>
      <c r="J132" s="125" t="s">
        <v>770</v>
      </c>
    </row>
    <row r="133" spans="2:10" ht="21.75" x14ac:dyDescent="0.15">
      <c r="B133" s="123">
        <v>1</v>
      </c>
      <c r="C133" s="164" t="s">
        <v>28</v>
      </c>
      <c r="D133" s="125" t="s">
        <v>797</v>
      </c>
      <c r="E133" s="125" t="s">
        <v>787</v>
      </c>
      <c r="F133" s="165">
        <v>44418</v>
      </c>
      <c r="G133" s="120" t="s">
        <v>770</v>
      </c>
      <c r="H133" s="166">
        <v>5614718</v>
      </c>
      <c r="I133" s="125" t="s">
        <v>928</v>
      </c>
      <c r="J133" s="125" t="s">
        <v>770</v>
      </c>
    </row>
    <row r="134" spans="2:10" ht="21.75" x14ac:dyDescent="0.15">
      <c r="B134" s="123">
        <v>1</v>
      </c>
      <c r="C134" s="164" t="s">
        <v>28</v>
      </c>
      <c r="D134" s="125" t="s">
        <v>797</v>
      </c>
      <c r="E134" s="125" t="s">
        <v>787</v>
      </c>
      <c r="F134" s="165">
        <v>44418</v>
      </c>
      <c r="G134" s="120" t="s">
        <v>770</v>
      </c>
      <c r="H134" s="166">
        <v>278841285</v>
      </c>
      <c r="I134" s="125" t="s">
        <v>929</v>
      </c>
      <c r="J134" s="125" t="s">
        <v>770</v>
      </c>
    </row>
    <row r="135" spans="2:10" ht="21.75" x14ac:dyDescent="0.15">
      <c r="B135" s="123">
        <v>1</v>
      </c>
      <c r="C135" s="164" t="s">
        <v>28</v>
      </c>
      <c r="D135" s="125" t="s">
        <v>797</v>
      </c>
      <c r="E135" s="125" t="s">
        <v>787</v>
      </c>
      <c r="F135" s="165">
        <v>44418</v>
      </c>
      <c r="G135" s="120" t="s">
        <v>770</v>
      </c>
      <c r="H135" s="166">
        <v>4141726</v>
      </c>
      <c r="I135" s="125" t="s">
        <v>930</v>
      </c>
      <c r="J135" s="125" t="s">
        <v>770</v>
      </c>
    </row>
    <row r="136" spans="2:10" ht="21.75" x14ac:dyDescent="0.15">
      <c r="B136" s="123">
        <v>1</v>
      </c>
      <c r="C136" s="164" t="s">
        <v>28</v>
      </c>
      <c r="D136" s="125" t="s">
        <v>797</v>
      </c>
      <c r="E136" s="125" t="s">
        <v>787</v>
      </c>
      <c r="F136" s="165">
        <v>44418</v>
      </c>
      <c r="G136" s="120" t="s">
        <v>770</v>
      </c>
      <c r="H136" s="166">
        <v>103803786</v>
      </c>
      <c r="I136" s="125" t="s">
        <v>931</v>
      </c>
      <c r="J136" s="125" t="s">
        <v>770</v>
      </c>
    </row>
    <row r="137" spans="2:10" ht="21.75" x14ac:dyDescent="0.15">
      <c r="B137" s="123">
        <v>1</v>
      </c>
      <c r="C137" s="164" t="s">
        <v>28</v>
      </c>
      <c r="D137" s="125" t="s">
        <v>797</v>
      </c>
      <c r="E137" s="125" t="s">
        <v>787</v>
      </c>
      <c r="F137" s="165">
        <v>44418</v>
      </c>
      <c r="G137" s="120" t="s">
        <v>770</v>
      </c>
      <c r="H137" s="166">
        <v>24255713</v>
      </c>
      <c r="I137" s="125" t="s">
        <v>932</v>
      </c>
      <c r="J137" s="125" t="s">
        <v>770</v>
      </c>
    </row>
    <row r="138" spans="2:10" ht="21.75" x14ac:dyDescent="0.15">
      <c r="B138" s="123">
        <v>1</v>
      </c>
      <c r="C138" s="164" t="s">
        <v>28</v>
      </c>
      <c r="D138" s="125" t="s">
        <v>797</v>
      </c>
      <c r="E138" s="125" t="s">
        <v>787</v>
      </c>
      <c r="F138" s="165">
        <v>44418</v>
      </c>
      <c r="G138" s="120" t="s">
        <v>770</v>
      </c>
      <c r="H138" s="166">
        <v>3875083</v>
      </c>
      <c r="I138" s="125" t="s">
        <v>933</v>
      </c>
      <c r="J138" s="125" t="s">
        <v>770</v>
      </c>
    </row>
    <row r="139" spans="2:10" ht="21.75" x14ac:dyDescent="0.15">
      <c r="B139" s="123">
        <v>1</v>
      </c>
      <c r="C139" s="164" t="s">
        <v>28</v>
      </c>
      <c r="D139" s="125" t="s">
        <v>797</v>
      </c>
      <c r="E139" s="125" t="s">
        <v>787</v>
      </c>
      <c r="F139" s="165">
        <v>44418</v>
      </c>
      <c r="G139" s="120" t="s">
        <v>770</v>
      </c>
      <c r="H139" s="166">
        <v>46709397</v>
      </c>
      <c r="I139" s="125" t="s">
        <v>934</v>
      </c>
      <c r="J139" s="125" t="s">
        <v>770</v>
      </c>
    </row>
    <row r="140" spans="2:10" ht="21.75" x14ac:dyDescent="0.15">
      <c r="B140" s="123">
        <v>1</v>
      </c>
      <c r="C140" s="164" t="s">
        <v>28</v>
      </c>
      <c r="D140" s="125" t="s">
        <v>797</v>
      </c>
      <c r="E140" s="125" t="s">
        <v>787</v>
      </c>
      <c r="F140" s="165">
        <v>44418</v>
      </c>
      <c r="G140" s="120" t="s">
        <v>770</v>
      </c>
      <c r="H140" s="166">
        <v>18161684</v>
      </c>
      <c r="I140" s="125" t="s">
        <v>935</v>
      </c>
      <c r="J140" s="125" t="s">
        <v>770</v>
      </c>
    </row>
    <row r="141" spans="2:10" ht="21.75" x14ac:dyDescent="0.15">
      <c r="B141" s="123">
        <v>1</v>
      </c>
      <c r="C141" s="164" t="s">
        <v>28</v>
      </c>
      <c r="D141" s="125" t="s">
        <v>797</v>
      </c>
      <c r="E141" s="125" t="s">
        <v>787</v>
      </c>
      <c r="F141" s="165">
        <v>44418</v>
      </c>
      <c r="G141" s="120" t="s">
        <v>770</v>
      </c>
      <c r="H141" s="166">
        <v>22737741</v>
      </c>
      <c r="I141" s="125" t="s">
        <v>936</v>
      </c>
      <c r="J141" s="125" t="s">
        <v>770</v>
      </c>
    </row>
    <row r="142" spans="2:10" ht="21.75" x14ac:dyDescent="0.15">
      <c r="B142" s="123">
        <v>1</v>
      </c>
      <c r="C142" s="164" t="s">
        <v>28</v>
      </c>
      <c r="D142" s="125" t="s">
        <v>797</v>
      </c>
      <c r="E142" s="125" t="s">
        <v>787</v>
      </c>
      <c r="F142" s="165">
        <v>44418</v>
      </c>
      <c r="G142" s="120" t="s">
        <v>770</v>
      </c>
      <c r="H142" s="166">
        <v>56175210</v>
      </c>
      <c r="I142" s="125" t="s">
        <v>937</v>
      </c>
      <c r="J142" s="125" t="s">
        <v>770</v>
      </c>
    </row>
    <row r="143" spans="2:10" ht="21.75" x14ac:dyDescent="0.15">
      <c r="B143" s="123">
        <v>1</v>
      </c>
      <c r="C143" s="164" t="s">
        <v>28</v>
      </c>
      <c r="D143" s="125" t="s">
        <v>797</v>
      </c>
      <c r="E143" s="125" t="s">
        <v>787</v>
      </c>
      <c r="F143" s="165">
        <v>44418</v>
      </c>
      <c r="G143" s="120" t="s">
        <v>770</v>
      </c>
      <c r="H143" s="166">
        <v>8240433</v>
      </c>
      <c r="I143" s="125" t="s">
        <v>938</v>
      </c>
      <c r="J143" s="125" t="s">
        <v>770</v>
      </c>
    </row>
    <row r="144" spans="2:10" ht="21.75" x14ac:dyDescent="0.15">
      <c r="B144" s="123">
        <v>1</v>
      </c>
      <c r="C144" s="164" t="s">
        <v>28</v>
      </c>
      <c r="D144" s="125" t="s">
        <v>797</v>
      </c>
      <c r="E144" s="125" t="s">
        <v>787</v>
      </c>
      <c r="F144" s="165">
        <v>44418</v>
      </c>
      <c r="G144" s="120" t="s">
        <v>770</v>
      </c>
      <c r="H144" s="166">
        <v>38639998</v>
      </c>
      <c r="I144" s="125" t="s">
        <v>939</v>
      </c>
      <c r="J144" s="125" t="s">
        <v>770</v>
      </c>
    </row>
    <row r="145" spans="2:10" ht="21.75" x14ac:dyDescent="0.15">
      <c r="B145" s="123">
        <v>1</v>
      </c>
      <c r="C145" s="164" t="s">
        <v>28</v>
      </c>
      <c r="D145" s="125" t="s">
        <v>797</v>
      </c>
      <c r="E145" s="125" t="s">
        <v>787</v>
      </c>
      <c r="F145" s="165">
        <v>44418</v>
      </c>
      <c r="G145" s="120" t="s">
        <v>770</v>
      </c>
      <c r="H145" s="166">
        <v>7420669</v>
      </c>
      <c r="I145" s="125" t="s">
        <v>940</v>
      </c>
      <c r="J145" s="125" t="s">
        <v>770</v>
      </c>
    </row>
    <row r="146" spans="2:10" ht="21.75" x14ac:dyDescent="0.15">
      <c r="B146" s="123">
        <v>1</v>
      </c>
      <c r="C146" s="164" t="s">
        <v>28</v>
      </c>
      <c r="D146" s="125" t="s">
        <v>797</v>
      </c>
      <c r="E146" s="125" t="s">
        <v>787</v>
      </c>
      <c r="F146" s="165">
        <v>44418</v>
      </c>
      <c r="G146" s="120" t="s">
        <v>770</v>
      </c>
      <c r="H146" s="166">
        <v>8545942</v>
      </c>
      <c r="I146" s="125" t="s">
        <v>941</v>
      </c>
      <c r="J146" s="125" t="s">
        <v>770</v>
      </c>
    </row>
    <row r="147" spans="2:10" ht="21.75" x14ac:dyDescent="0.15">
      <c r="B147" s="123">
        <v>1</v>
      </c>
      <c r="C147" s="164" t="s">
        <v>28</v>
      </c>
      <c r="D147" s="125" t="s">
        <v>797</v>
      </c>
      <c r="E147" s="125" t="s">
        <v>787</v>
      </c>
      <c r="F147" s="165">
        <v>44428</v>
      </c>
      <c r="G147" s="120" t="s">
        <v>770</v>
      </c>
      <c r="H147" s="166">
        <v>7930000</v>
      </c>
      <c r="I147" s="125" t="s">
        <v>942</v>
      </c>
      <c r="J147" s="125" t="s">
        <v>770</v>
      </c>
    </row>
    <row r="148" spans="2:10" ht="12" x14ac:dyDescent="0.15">
      <c r="B148" s="123">
        <v>1</v>
      </c>
      <c r="C148" s="164" t="s">
        <v>28</v>
      </c>
      <c r="D148" s="125" t="s">
        <v>797</v>
      </c>
      <c r="E148" s="125" t="s">
        <v>787</v>
      </c>
      <c r="F148" s="165">
        <v>44439</v>
      </c>
      <c r="G148" s="120" t="s">
        <v>770</v>
      </c>
      <c r="H148" s="166">
        <v>52000000</v>
      </c>
      <c r="I148" s="125" t="s">
        <v>943</v>
      </c>
      <c r="J148" s="125" t="s">
        <v>770</v>
      </c>
    </row>
    <row r="149" spans="2:10" ht="21.75" x14ac:dyDescent="0.15">
      <c r="B149" s="123">
        <v>1</v>
      </c>
      <c r="C149" s="164" t="s">
        <v>28</v>
      </c>
      <c r="D149" s="125" t="s">
        <v>797</v>
      </c>
      <c r="E149" s="125" t="s">
        <v>787</v>
      </c>
      <c r="F149" s="165">
        <v>44439</v>
      </c>
      <c r="G149" s="120" t="s">
        <v>770</v>
      </c>
      <c r="H149" s="166">
        <v>3480000</v>
      </c>
      <c r="I149" s="125" t="s">
        <v>944</v>
      </c>
      <c r="J149" s="125" t="s">
        <v>770</v>
      </c>
    </row>
    <row r="150" spans="2:10" ht="12" x14ac:dyDescent="0.15">
      <c r="B150" s="123">
        <v>1</v>
      </c>
      <c r="C150" s="164" t="s">
        <v>28</v>
      </c>
      <c r="D150" s="125" t="s">
        <v>797</v>
      </c>
      <c r="E150" s="125" t="s">
        <v>787</v>
      </c>
      <c r="F150" s="165">
        <v>44439</v>
      </c>
      <c r="G150" s="120" t="s">
        <v>770</v>
      </c>
      <c r="H150" s="166">
        <v>2450000</v>
      </c>
      <c r="I150" s="125" t="s">
        <v>945</v>
      </c>
      <c r="J150" s="125" t="s">
        <v>770</v>
      </c>
    </row>
    <row r="151" spans="2:10" ht="21.75" x14ac:dyDescent="0.15">
      <c r="B151" s="123">
        <v>1</v>
      </c>
      <c r="C151" s="164" t="s">
        <v>28</v>
      </c>
      <c r="D151" s="125" t="s">
        <v>797</v>
      </c>
      <c r="E151" s="125" t="s">
        <v>787</v>
      </c>
      <c r="F151" s="165">
        <v>44439</v>
      </c>
      <c r="G151" s="120" t="s">
        <v>770</v>
      </c>
      <c r="H151" s="166">
        <v>11610000</v>
      </c>
      <c r="I151" s="125" t="s">
        <v>946</v>
      </c>
      <c r="J151" s="125" t="s">
        <v>770</v>
      </c>
    </row>
    <row r="152" spans="2:10" ht="21.75" x14ac:dyDescent="0.15">
      <c r="B152" s="123">
        <v>1</v>
      </c>
      <c r="C152" s="164" t="s">
        <v>28</v>
      </c>
      <c r="D152" s="125" t="s">
        <v>797</v>
      </c>
      <c r="E152" s="125" t="s">
        <v>787</v>
      </c>
      <c r="F152" s="165">
        <v>44439</v>
      </c>
      <c r="G152" s="120" t="s">
        <v>770</v>
      </c>
      <c r="H152" s="166">
        <v>55780000</v>
      </c>
      <c r="I152" s="125" t="s">
        <v>947</v>
      </c>
      <c r="J152" s="125" t="s">
        <v>770</v>
      </c>
    </row>
    <row r="153" spans="2:10" ht="21.75" x14ac:dyDescent="0.15">
      <c r="B153" s="123">
        <v>1</v>
      </c>
      <c r="C153" s="164" t="s">
        <v>28</v>
      </c>
      <c r="D153" s="125" t="s">
        <v>797</v>
      </c>
      <c r="E153" s="125" t="s">
        <v>787</v>
      </c>
      <c r="F153" s="165">
        <v>44439</v>
      </c>
      <c r="G153" s="120" t="s">
        <v>770</v>
      </c>
      <c r="H153" s="166">
        <v>3560000</v>
      </c>
      <c r="I153" s="125" t="s">
        <v>947</v>
      </c>
      <c r="J153" s="125" t="s">
        <v>770</v>
      </c>
    </row>
    <row r="154" spans="2:10" ht="21.75" x14ac:dyDescent="0.15">
      <c r="B154" s="123">
        <v>1</v>
      </c>
      <c r="C154" s="164" t="s">
        <v>28</v>
      </c>
      <c r="D154" s="125" t="s">
        <v>797</v>
      </c>
      <c r="E154" s="125" t="s">
        <v>787</v>
      </c>
      <c r="F154" s="165">
        <v>44439</v>
      </c>
      <c r="G154" s="120" t="s">
        <v>770</v>
      </c>
      <c r="H154" s="166">
        <v>4150000</v>
      </c>
      <c r="I154" s="125" t="s">
        <v>947</v>
      </c>
      <c r="J154" s="125" t="s">
        <v>770</v>
      </c>
    </row>
    <row r="155" spans="2:10" ht="21.75" x14ac:dyDescent="0.15">
      <c r="B155" s="123">
        <v>1</v>
      </c>
      <c r="C155" s="164" t="s">
        <v>28</v>
      </c>
      <c r="D155" s="125" t="s">
        <v>797</v>
      </c>
      <c r="E155" s="125" t="s">
        <v>787</v>
      </c>
      <c r="F155" s="165">
        <v>44417</v>
      </c>
      <c r="G155" s="120" t="s">
        <v>770</v>
      </c>
      <c r="H155" s="166">
        <v>3988489</v>
      </c>
      <c r="I155" s="125" t="s">
        <v>948</v>
      </c>
      <c r="J155" s="125" t="s">
        <v>770</v>
      </c>
    </row>
    <row r="156" spans="2:10" ht="21.75" x14ac:dyDescent="0.15">
      <c r="B156" s="123">
        <v>1</v>
      </c>
      <c r="C156" s="164" t="s">
        <v>28</v>
      </c>
      <c r="D156" s="125" t="s">
        <v>797</v>
      </c>
      <c r="E156" s="125" t="s">
        <v>787</v>
      </c>
      <c r="F156" s="165">
        <v>44421</v>
      </c>
      <c r="G156" s="120" t="s">
        <v>770</v>
      </c>
      <c r="H156" s="166">
        <v>262605000</v>
      </c>
      <c r="I156" s="125" t="s">
        <v>949</v>
      </c>
      <c r="J156" s="125" t="s">
        <v>770</v>
      </c>
    </row>
    <row r="157" spans="2:10" ht="12" x14ac:dyDescent="0.15">
      <c r="B157" s="123">
        <v>1</v>
      </c>
      <c r="C157" s="164" t="s">
        <v>28</v>
      </c>
      <c r="D157" s="125" t="s">
        <v>797</v>
      </c>
      <c r="E157" s="125" t="s">
        <v>787</v>
      </c>
      <c r="F157" s="165">
        <v>44421</v>
      </c>
      <c r="G157" s="120" t="s">
        <v>770</v>
      </c>
      <c r="H157" s="166">
        <v>376474924</v>
      </c>
      <c r="I157" s="125" t="s">
        <v>950</v>
      </c>
      <c r="J157" s="125" t="s">
        <v>770</v>
      </c>
    </row>
    <row r="158" spans="2:10" ht="12" x14ac:dyDescent="0.15">
      <c r="B158" s="123">
        <v>1</v>
      </c>
      <c r="C158" s="164" t="s">
        <v>28</v>
      </c>
      <c r="D158" s="125" t="s">
        <v>797</v>
      </c>
      <c r="E158" s="125" t="s">
        <v>787</v>
      </c>
      <c r="F158" s="165">
        <v>44434</v>
      </c>
      <c r="G158" s="120" t="s">
        <v>770</v>
      </c>
      <c r="H158" s="166">
        <v>29958611</v>
      </c>
      <c r="I158" s="125" t="s">
        <v>951</v>
      </c>
      <c r="J158" s="125" t="s">
        <v>770</v>
      </c>
    </row>
    <row r="159" spans="2:10" ht="21.75" x14ac:dyDescent="0.15">
      <c r="B159" s="123">
        <v>1</v>
      </c>
      <c r="C159" s="164" t="s">
        <v>28</v>
      </c>
      <c r="D159" s="125" t="s">
        <v>797</v>
      </c>
      <c r="E159" s="125" t="s">
        <v>787</v>
      </c>
      <c r="F159" s="165">
        <v>44463</v>
      </c>
      <c r="G159" s="120" t="s">
        <v>770</v>
      </c>
      <c r="H159" s="166">
        <v>86260589</v>
      </c>
      <c r="I159" s="125" t="s">
        <v>952</v>
      </c>
      <c r="J159" s="125" t="s">
        <v>770</v>
      </c>
    </row>
    <row r="160" spans="2:10" ht="21.75" x14ac:dyDescent="0.15">
      <c r="B160" s="123">
        <v>1</v>
      </c>
      <c r="C160" s="164" t="s">
        <v>28</v>
      </c>
      <c r="D160" s="125" t="s">
        <v>797</v>
      </c>
      <c r="E160" s="125" t="s">
        <v>787</v>
      </c>
      <c r="F160" s="165">
        <v>44463</v>
      </c>
      <c r="G160" s="120" t="s">
        <v>770</v>
      </c>
      <c r="H160" s="166">
        <v>29500000</v>
      </c>
      <c r="I160" s="125" t="s">
        <v>953</v>
      </c>
      <c r="J160" s="125" t="s">
        <v>770</v>
      </c>
    </row>
    <row r="161" spans="2:10" ht="21.75" x14ac:dyDescent="0.15">
      <c r="B161" s="123">
        <v>1</v>
      </c>
      <c r="C161" s="164" t="s">
        <v>28</v>
      </c>
      <c r="D161" s="125" t="s">
        <v>797</v>
      </c>
      <c r="E161" s="125" t="s">
        <v>787</v>
      </c>
      <c r="F161" s="165">
        <v>44455</v>
      </c>
      <c r="G161" s="120" t="s">
        <v>770</v>
      </c>
      <c r="H161" s="166">
        <v>6300000</v>
      </c>
      <c r="I161" s="125" t="s">
        <v>954</v>
      </c>
      <c r="J161" s="125" t="s">
        <v>770</v>
      </c>
    </row>
    <row r="162" spans="2:10" ht="21.75" x14ac:dyDescent="0.15">
      <c r="B162" s="123">
        <v>1</v>
      </c>
      <c r="C162" s="164" t="s">
        <v>28</v>
      </c>
      <c r="D162" s="125" t="s">
        <v>797</v>
      </c>
      <c r="E162" s="125" t="s">
        <v>787</v>
      </c>
      <c r="F162" s="165">
        <v>44455</v>
      </c>
      <c r="G162" s="120" t="s">
        <v>770</v>
      </c>
      <c r="H162" s="166">
        <v>2000000</v>
      </c>
      <c r="I162" s="125" t="s">
        <v>955</v>
      </c>
      <c r="J162" s="125" t="s">
        <v>770</v>
      </c>
    </row>
    <row r="163" spans="2:10" ht="21.75" x14ac:dyDescent="0.15">
      <c r="B163" s="123">
        <v>1</v>
      </c>
      <c r="C163" s="164" t="s">
        <v>28</v>
      </c>
      <c r="D163" s="125" t="s">
        <v>797</v>
      </c>
      <c r="E163" s="125" t="s">
        <v>787</v>
      </c>
      <c r="F163" s="165">
        <v>44459</v>
      </c>
      <c r="G163" s="120" t="s">
        <v>770</v>
      </c>
      <c r="H163" s="166">
        <v>2000000</v>
      </c>
      <c r="I163" s="125" t="s">
        <v>956</v>
      </c>
      <c r="J163" s="125" t="s">
        <v>770</v>
      </c>
    </row>
    <row r="164" spans="2:10" ht="21.75" x14ac:dyDescent="0.15">
      <c r="B164" s="123">
        <v>1</v>
      </c>
      <c r="C164" s="164" t="s">
        <v>28</v>
      </c>
      <c r="D164" s="125" t="s">
        <v>797</v>
      </c>
      <c r="E164" s="125" t="s">
        <v>787</v>
      </c>
      <c r="F164" s="165">
        <v>44459</v>
      </c>
      <c r="G164" s="120" t="s">
        <v>770</v>
      </c>
      <c r="H164" s="166">
        <v>7195000</v>
      </c>
      <c r="I164" s="125" t="s">
        <v>957</v>
      </c>
      <c r="J164" s="125" t="s">
        <v>770</v>
      </c>
    </row>
    <row r="165" spans="2:10" ht="21.75" x14ac:dyDescent="0.15">
      <c r="B165" s="123">
        <v>1</v>
      </c>
      <c r="C165" s="164" t="s">
        <v>28</v>
      </c>
      <c r="D165" s="125" t="s">
        <v>797</v>
      </c>
      <c r="E165" s="125" t="s">
        <v>787</v>
      </c>
      <c r="F165" s="165">
        <v>44459</v>
      </c>
      <c r="G165" s="120" t="s">
        <v>770</v>
      </c>
      <c r="H165" s="166">
        <v>7130000</v>
      </c>
      <c r="I165" s="125" t="s">
        <v>958</v>
      </c>
      <c r="J165" s="125" t="s">
        <v>770</v>
      </c>
    </row>
    <row r="166" spans="2:10" ht="12" x14ac:dyDescent="0.15">
      <c r="B166" s="123">
        <v>1</v>
      </c>
      <c r="C166" s="164" t="s">
        <v>28</v>
      </c>
      <c r="D166" s="125" t="s">
        <v>797</v>
      </c>
      <c r="E166" s="125" t="s">
        <v>787</v>
      </c>
      <c r="F166" s="165">
        <v>44469</v>
      </c>
      <c r="G166" s="120" t="s">
        <v>770</v>
      </c>
      <c r="H166" s="166">
        <v>2000000</v>
      </c>
      <c r="I166" s="125" t="s">
        <v>959</v>
      </c>
      <c r="J166" s="125" t="s">
        <v>770</v>
      </c>
    </row>
    <row r="167" spans="2:10" ht="12" x14ac:dyDescent="0.15">
      <c r="B167" s="123">
        <v>1</v>
      </c>
      <c r="C167" s="164" t="s">
        <v>28</v>
      </c>
      <c r="D167" s="125" t="s">
        <v>797</v>
      </c>
      <c r="E167" s="125" t="s">
        <v>787</v>
      </c>
      <c r="F167" s="165">
        <v>44469</v>
      </c>
      <c r="G167" s="120" t="s">
        <v>770</v>
      </c>
      <c r="H167" s="166">
        <v>850000</v>
      </c>
      <c r="I167" s="125" t="s">
        <v>960</v>
      </c>
      <c r="J167" s="125" t="s">
        <v>770</v>
      </c>
    </row>
    <row r="168" spans="2:10" ht="12" x14ac:dyDescent="0.15">
      <c r="B168" s="123">
        <v>1</v>
      </c>
      <c r="C168" s="164" t="s">
        <v>28</v>
      </c>
      <c r="D168" s="125" t="s">
        <v>797</v>
      </c>
      <c r="E168" s="125" t="s">
        <v>787</v>
      </c>
      <c r="F168" s="165">
        <v>44469</v>
      </c>
      <c r="G168" s="120" t="s">
        <v>770</v>
      </c>
      <c r="H168" s="166">
        <v>790000</v>
      </c>
      <c r="I168" s="125" t="s">
        <v>961</v>
      </c>
      <c r="J168" s="125" t="s">
        <v>770</v>
      </c>
    </row>
    <row r="169" spans="2:10" ht="21.75" x14ac:dyDescent="0.15">
      <c r="B169" s="123">
        <v>1</v>
      </c>
      <c r="C169" s="164" t="s">
        <v>28</v>
      </c>
      <c r="D169" s="125" t="s">
        <v>797</v>
      </c>
      <c r="E169" s="125" t="s">
        <v>787</v>
      </c>
      <c r="F169" s="165">
        <v>44469</v>
      </c>
      <c r="G169" s="120" t="s">
        <v>770</v>
      </c>
      <c r="H169" s="166">
        <v>965000</v>
      </c>
      <c r="I169" s="125" t="s">
        <v>962</v>
      </c>
      <c r="J169" s="125" t="s">
        <v>770</v>
      </c>
    </row>
    <row r="170" spans="2:10" ht="21.75" x14ac:dyDescent="0.15">
      <c r="B170" s="123">
        <v>1</v>
      </c>
      <c r="C170" s="164" t="s">
        <v>28</v>
      </c>
      <c r="D170" s="125" t="s">
        <v>797</v>
      </c>
      <c r="E170" s="125" t="s">
        <v>787</v>
      </c>
      <c r="F170" s="165">
        <v>44469</v>
      </c>
      <c r="G170" s="120" t="s">
        <v>770</v>
      </c>
      <c r="H170" s="166">
        <v>29670000</v>
      </c>
      <c r="I170" s="125" t="s">
        <v>962</v>
      </c>
      <c r="J170" s="125" t="s">
        <v>770</v>
      </c>
    </row>
    <row r="171" spans="2:10" ht="21.75" x14ac:dyDescent="0.15">
      <c r="B171" s="123">
        <v>1</v>
      </c>
      <c r="C171" s="164" t="s">
        <v>28</v>
      </c>
      <c r="D171" s="125" t="s">
        <v>797</v>
      </c>
      <c r="E171" s="125" t="s">
        <v>787</v>
      </c>
      <c r="F171" s="165">
        <v>44469</v>
      </c>
      <c r="G171" s="120" t="s">
        <v>770</v>
      </c>
      <c r="H171" s="166">
        <v>12825000</v>
      </c>
      <c r="I171" s="125" t="s">
        <v>962</v>
      </c>
      <c r="J171" s="125" t="s">
        <v>770</v>
      </c>
    </row>
    <row r="172" spans="2:10" ht="12" x14ac:dyDescent="0.15">
      <c r="B172" s="123">
        <v>1</v>
      </c>
      <c r="C172" s="164" t="s">
        <v>28</v>
      </c>
      <c r="D172" s="125" t="s">
        <v>797</v>
      </c>
      <c r="E172" s="125" t="s">
        <v>787</v>
      </c>
      <c r="F172" s="165">
        <v>44469</v>
      </c>
      <c r="G172" s="120" t="s">
        <v>770</v>
      </c>
      <c r="H172" s="166">
        <v>29938814</v>
      </c>
      <c r="I172" s="125" t="s">
        <v>963</v>
      </c>
      <c r="J172" s="125" t="s">
        <v>770</v>
      </c>
    </row>
    <row r="173" spans="2:10" ht="12" x14ac:dyDescent="0.15">
      <c r="B173" s="123">
        <v>1</v>
      </c>
      <c r="C173" s="164" t="s">
        <v>28</v>
      </c>
      <c r="D173" s="125" t="s">
        <v>797</v>
      </c>
      <c r="E173" s="125" t="s">
        <v>787</v>
      </c>
      <c r="F173" s="165">
        <v>44469</v>
      </c>
      <c r="G173" s="120" t="s">
        <v>770</v>
      </c>
      <c r="H173" s="166">
        <v>1038042847</v>
      </c>
      <c r="I173" s="125" t="s">
        <v>964</v>
      </c>
      <c r="J173" s="125" t="s">
        <v>770</v>
      </c>
    </row>
    <row r="174" spans="2:10" ht="21.75" x14ac:dyDescent="0.15">
      <c r="B174" s="123">
        <v>1</v>
      </c>
      <c r="C174" s="164" t="s">
        <v>28</v>
      </c>
      <c r="D174" s="125" t="s">
        <v>797</v>
      </c>
      <c r="E174" s="125" t="s">
        <v>787</v>
      </c>
      <c r="F174" s="165">
        <v>44459</v>
      </c>
      <c r="G174" s="120" t="s">
        <v>770</v>
      </c>
      <c r="H174" s="166">
        <v>18920566501</v>
      </c>
      <c r="I174" s="125" t="s">
        <v>965</v>
      </c>
      <c r="J174" s="125" t="s">
        <v>770</v>
      </c>
    </row>
    <row r="175" spans="2:10" ht="21.75" x14ac:dyDescent="0.15">
      <c r="B175" s="123">
        <v>1</v>
      </c>
      <c r="C175" s="164" t="s">
        <v>28</v>
      </c>
      <c r="D175" s="125" t="s">
        <v>797</v>
      </c>
      <c r="E175" s="125" t="s">
        <v>787</v>
      </c>
      <c r="F175" s="165" t="s">
        <v>966</v>
      </c>
      <c r="G175" s="120" t="s">
        <v>770</v>
      </c>
      <c r="H175" s="166">
        <v>124255000</v>
      </c>
      <c r="I175" s="125" t="s">
        <v>967</v>
      </c>
      <c r="J175" s="125" t="s">
        <v>770</v>
      </c>
    </row>
    <row r="176" spans="2:10" ht="21.75" x14ac:dyDescent="0.15">
      <c r="B176" s="123">
        <v>1</v>
      </c>
      <c r="C176" s="164" t="s">
        <v>28</v>
      </c>
      <c r="D176" s="125" t="s">
        <v>797</v>
      </c>
      <c r="E176" s="125" t="s">
        <v>787</v>
      </c>
      <c r="F176" s="165" t="s">
        <v>966</v>
      </c>
      <c r="G176" s="120" t="s">
        <v>770</v>
      </c>
      <c r="H176" s="166">
        <v>44860000</v>
      </c>
      <c r="I176" s="125" t="s">
        <v>967</v>
      </c>
      <c r="J176" s="125" t="s">
        <v>770</v>
      </c>
    </row>
    <row r="177" spans="2:10" ht="21.75" x14ac:dyDescent="0.15">
      <c r="B177" s="123">
        <v>1</v>
      </c>
      <c r="C177" s="164" t="s">
        <v>28</v>
      </c>
      <c r="D177" s="125" t="s">
        <v>797</v>
      </c>
      <c r="E177" s="125" t="s">
        <v>787</v>
      </c>
      <c r="F177" s="165" t="s">
        <v>966</v>
      </c>
      <c r="G177" s="120" t="s">
        <v>770</v>
      </c>
      <c r="H177" s="166">
        <v>157087334</v>
      </c>
      <c r="I177" s="125" t="s">
        <v>968</v>
      </c>
      <c r="J177" s="125" t="s">
        <v>770</v>
      </c>
    </row>
    <row r="178" spans="2:10" ht="12" x14ac:dyDescent="0.15">
      <c r="B178" s="123">
        <v>1</v>
      </c>
      <c r="C178" s="164" t="s">
        <v>28</v>
      </c>
      <c r="D178" s="125" t="s">
        <v>797</v>
      </c>
      <c r="E178" s="125" t="s">
        <v>787</v>
      </c>
      <c r="F178" s="165" t="s">
        <v>966</v>
      </c>
      <c r="G178" s="120" t="s">
        <v>770</v>
      </c>
      <c r="H178" s="166">
        <v>1300000</v>
      </c>
      <c r="I178" s="125" t="s">
        <v>969</v>
      </c>
      <c r="J178" s="125" t="s">
        <v>770</v>
      </c>
    </row>
    <row r="179" spans="2:10" ht="12" x14ac:dyDescent="0.15">
      <c r="B179" s="123">
        <v>1</v>
      </c>
      <c r="C179" s="164" t="s">
        <v>28</v>
      </c>
      <c r="D179" s="125" t="s">
        <v>797</v>
      </c>
      <c r="E179" s="125" t="s">
        <v>787</v>
      </c>
      <c r="F179" s="165" t="s">
        <v>966</v>
      </c>
      <c r="G179" s="120" t="s">
        <v>770</v>
      </c>
      <c r="H179" s="166">
        <v>44000000</v>
      </c>
      <c r="I179" s="125" t="s">
        <v>970</v>
      </c>
      <c r="J179" s="125" t="s">
        <v>770</v>
      </c>
    </row>
    <row r="180" spans="2:10" ht="21.75" x14ac:dyDescent="0.15">
      <c r="B180" s="123">
        <v>1</v>
      </c>
      <c r="C180" s="164" t="s">
        <v>28</v>
      </c>
      <c r="D180" s="125" t="s">
        <v>797</v>
      </c>
      <c r="E180" s="125" t="s">
        <v>787</v>
      </c>
      <c r="F180" s="165" t="s">
        <v>966</v>
      </c>
      <c r="G180" s="120" t="s">
        <v>770</v>
      </c>
      <c r="H180" s="166">
        <v>240000000</v>
      </c>
      <c r="I180" s="125" t="s">
        <v>971</v>
      </c>
      <c r="J180" s="125" t="s">
        <v>770</v>
      </c>
    </row>
    <row r="181" spans="2:10" ht="21.75" x14ac:dyDescent="0.15">
      <c r="B181" s="123">
        <v>1</v>
      </c>
      <c r="C181" s="164" t="s">
        <v>28</v>
      </c>
      <c r="D181" s="125" t="s">
        <v>797</v>
      </c>
      <c r="E181" s="125" t="s">
        <v>787</v>
      </c>
      <c r="F181" s="165" t="s">
        <v>966</v>
      </c>
      <c r="G181" s="120" t="s">
        <v>770</v>
      </c>
      <c r="H181" s="166">
        <v>21600000</v>
      </c>
      <c r="I181" s="125" t="s">
        <v>972</v>
      </c>
      <c r="J181" s="125" t="s">
        <v>770</v>
      </c>
    </row>
    <row r="182" spans="2:10" ht="21.75" x14ac:dyDescent="0.15">
      <c r="B182" s="123">
        <v>1</v>
      </c>
      <c r="C182" s="164" t="s">
        <v>28</v>
      </c>
      <c r="D182" s="125" t="s">
        <v>797</v>
      </c>
      <c r="E182" s="125" t="s">
        <v>787</v>
      </c>
      <c r="F182" s="165" t="s">
        <v>966</v>
      </c>
      <c r="G182" s="120" t="s">
        <v>770</v>
      </c>
      <c r="H182" s="166">
        <v>24000000</v>
      </c>
      <c r="I182" s="125" t="s">
        <v>973</v>
      </c>
      <c r="J182" s="125" t="s">
        <v>770</v>
      </c>
    </row>
    <row r="183" spans="2:10" ht="12" x14ac:dyDescent="0.15">
      <c r="B183" s="123">
        <v>1</v>
      </c>
      <c r="C183" s="164" t="s">
        <v>28</v>
      </c>
      <c r="D183" s="125" t="s">
        <v>797</v>
      </c>
      <c r="E183" s="125" t="s">
        <v>787</v>
      </c>
      <c r="F183" s="165" t="s">
        <v>966</v>
      </c>
      <c r="G183" s="120" t="s">
        <v>770</v>
      </c>
      <c r="H183" s="166">
        <v>5000000</v>
      </c>
      <c r="I183" s="125" t="s">
        <v>974</v>
      </c>
      <c r="J183" s="125" t="s">
        <v>770</v>
      </c>
    </row>
    <row r="184" spans="2:10" ht="21.75" x14ac:dyDescent="0.15">
      <c r="B184" s="123">
        <v>1</v>
      </c>
      <c r="C184" s="164" t="s">
        <v>28</v>
      </c>
      <c r="D184" s="125" t="s">
        <v>797</v>
      </c>
      <c r="E184" s="125" t="s">
        <v>787</v>
      </c>
      <c r="F184" s="165" t="s">
        <v>966</v>
      </c>
      <c r="G184" s="120" t="s">
        <v>770</v>
      </c>
      <c r="H184" s="166">
        <v>6714000</v>
      </c>
      <c r="I184" s="125" t="s">
        <v>975</v>
      </c>
      <c r="J184" s="125" t="s">
        <v>770</v>
      </c>
    </row>
    <row r="185" spans="2:10" ht="12" x14ac:dyDescent="0.15">
      <c r="B185" s="123">
        <v>1</v>
      </c>
      <c r="C185" s="164" t="s">
        <v>28</v>
      </c>
      <c r="D185" s="125" t="s">
        <v>797</v>
      </c>
      <c r="E185" s="125" t="s">
        <v>787</v>
      </c>
      <c r="F185" s="165" t="s">
        <v>966</v>
      </c>
      <c r="G185" s="120" t="s">
        <v>770</v>
      </c>
      <c r="H185" s="166">
        <v>5940000</v>
      </c>
      <c r="I185" s="125" t="s">
        <v>976</v>
      </c>
      <c r="J185" s="125" t="s">
        <v>770</v>
      </c>
    </row>
    <row r="186" spans="2:10" ht="21.75" x14ac:dyDescent="0.15">
      <c r="B186" s="123">
        <v>1</v>
      </c>
      <c r="C186" s="164" t="s">
        <v>28</v>
      </c>
      <c r="D186" s="125" t="s">
        <v>797</v>
      </c>
      <c r="E186" s="125" t="s">
        <v>787</v>
      </c>
      <c r="F186" s="165" t="s">
        <v>966</v>
      </c>
      <c r="G186" s="120" t="s">
        <v>770</v>
      </c>
      <c r="H186" s="166">
        <v>2710000</v>
      </c>
      <c r="I186" s="125" t="s">
        <v>977</v>
      </c>
      <c r="J186" s="125" t="s">
        <v>770</v>
      </c>
    </row>
    <row r="187" spans="2:10" ht="12" x14ac:dyDescent="0.15">
      <c r="B187" s="123">
        <v>1</v>
      </c>
      <c r="C187" s="164" t="s">
        <v>28</v>
      </c>
      <c r="D187" s="125" t="s">
        <v>797</v>
      </c>
      <c r="E187" s="125" t="s">
        <v>787</v>
      </c>
      <c r="F187" s="165" t="s">
        <v>966</v>
      </c>
      <c r="G187" s="120" t="s">
        <v>770</v>
      </c>
      <c r="H187" s="166">
        <v>29899960</v>
      </c>
      <c r="I187" s="125" t="s">
        <v>978</v>
      </c>
      <c r="J187" s="125" t="s">
        <v>770</v>
      </c>
    </row>
    <row r="188" spans="2:10" ht="12" x14ac:dyDescent="0.15">
      <c r="B188" s="123">
        <v>1</v>
      </c>
      <c r="C188" s="164" t="s">
        <v>28</v>
      </c>
      <c r="D188" s="125" t="s">
        <v>797</v>
      </c>
      <c r="E188" s="125" t="s">
        <v>787</v>
      </c>
      <c r="F188" s="165" t="s">
        <v>966</v>
      </c>
      <c r="G188" s="120" t="s">
        <v>770</v>
      </c>
      <c r="H188" s="166">
        <v>209998</v>
      </c>
      <c r="I188" s="125" t="s">
        <v>979</v>
      </c>
      <c r="J188" s="125" t="s">
        <v>770</v>
      </c>
    </row>
    <row r="189" spans="2:10" ht="21.75" x14ac:dyDescent="0.15">
      <c r="B189" s="123">
        <v>1</v>
      </c>
      <c r="C189" s="164" t="s">
        <v>28</v>
      </c>
      <c r="D189" s="125" t="s">
        <v>797</v>
      </c>
      <c r="E189" s="125" t="s">
        <v>787</v>
      </c>
      <c r="F189" s="165" t="s">
        <v>966</v>
      </c>
      <c r="G189" s="120" t="s">
        <v>770</v>
      </c>
      <c r="H189" s="166">
        <v>56946008</v>
      </c>
      <c r="I189" s="125" t="s">
        <v>980</v>
      </c>
      <c r="J189" s="125" t="s">
        <v>770</v>
      </c>
    </row>
    <row r="190" spans="2:10" ht="21.75" x14ac:dyDescent="0.15">
      <c r="B190" s="123">
        <v>1</v>
      </c>
      <c r="C190" s="164" t="s">
        <v>28</v>
      </c>
      <c r="D190" s="125" t="s">
        <v>797</v>
      </c>
      <c r="E190" s="125" t="s">
        <v>787</v>
      </c>
      <c r="F190" s="165" t="s">
        <v>966</v>
      </c>
      <c r="G190" s="120" t="s">
        <v>770</v>
      </c>
      <c r="H190" s="166">
        <v>47162817</v>
      </c>
      <c r="I190" s="125" t="s">
        <v>981</v>
      </c>
      <c r="J190" s="125" t="s">
        <v>770</v>
      </c>
    </row>
    <row r="191" spans="2:10" ht="21.75" x14ac:dyDescent="0.15">
      <c r="B191" s="123">
        <v>1</v>
      </c>
      <c r="C191" s="164" t="s">
        <v>28</v>
      </c>
      <c r="D191" s="125" t="s">
        <v>797</v>
      </c>
      <c r="E191" s="125" t="s">
        <v>787</v>
      </c>
      <c r="F191" s="165" t="s">
        <v>966</v>
      </c>
      <c r="G191" s="120" t="s">
        <v>770</v>
      </c>
      <c r="H191" s="166">
        <v>95000000</v>
      </c>
      <c r="I191" s="125" t="s">
        <v>982</v>
      </c>
      <c r="J191" s="125" t="s">
        <v>770</v>
      </c>
    </row>
    <row r="192" spans="2:10" ht="21.75" x14ac:dyDescent="0.15">
      <c r="B192" s="123">
        <v>1</v>
      </c>
      <c r="C192" s="164" t="s">
        <v>28</v>
      </c>
      <c r="D192" s="125" t="s">
        <v>797</v>
      </c>
      <c r="E192" s="125" t="s">
        <v>787</v>
      </c>
      <c r="F192" s="165" t="s">
        <v>966</v>
      </c>
      <c r="G192" s="120" t="s">
        <v>770</v>
      </c>
      <c r="H192" s="166">
        <v>41800000</v>
      </c>
      <c r="I192" s="125" t="s">
        <v>983</v>
      </c>
      <c r="J192" s="125" t="s">
        <v>770</v>
      </c>
    </row>
    <row r="193" spans="2:10" ht="21.75" x14ac:dyDescent="0.15">
      <c r="B193" s="123">
        <v>1</v>
      </c>
      <c r="C193" s="164" t="s">
        <v>28</v>
      </c>
      <c r="D193" s="125" t="s">
        <v>797</v>
      </c>
      <c r="E193" s="125" t="s">
        <v>787</v>
      </c>
      <c r="F193" s="165" t="s">
        <v>966</v>
      </c>
      <c r="G193" s="120" t="s">
        <v>770</v>
      </c>
      <c r="H193" s="166">
        <v>500000</v>
      </c>
      <c r="I193" s="125" t="s">
        <v>984</v>
      </c>
      <c r="J193" s="125" t="s">
        <v>770</v>
      </c>
    </row>
    <row r="194" spans="2:10" ht="12" x14ac:dyDescent="0.15">
      <c r="B194" s="123">
        <v>1</v>
      </c>
      <c r="C194" s="164" t="s">
        <v>28</v>
      </c>
      <c r="D194" s="125" t="s">
        <v>797</v>
      </c>
      <c r="E194" s="125" t="s">
        <v>787</v>
      </c>
      <c r="F194" s="165" t="s">
        <v>966</v>
      </c>
      <c r="G194" s="120" t="s">
        <v>770</v>
      </c>
      <c r="H194" s="166">
        <v>5700000</v>
      </c>
      <c r="I194" s="125" t="s">
        <v>985</v>
      </c>
      <c r="J194" s="125" t="s">
        <v>770</v>
      </c>
    </row>
    <row r="195" spans="2:10" ht="21.75" x14ac:dyDescent="0.15">
      <c r="B195" s="123">
        <v>1</v>
      </c>
      <c r="C195" s="164" t="s">
        <v>28</v>
      </c>
      <c r="D195" s="125" t="s">
        <v>797</v>
      </c>
      <c r="E195" s="125" t="s">
        <v>787</v>
      </c>
      <c r="F195" s="165" t="s">
        <v>966</v>
      </c>
      <c r="G195" s="120" t="s">
        <v>770</v>
      </c>
      <c r="H195" s="166">
        <v>5949961</v>
      </c>
      <c r="I195" s="125" t="s">
        <v>986</v>
      </c>
      <c r="J195" s="125" t="s">
        <v>770</v>
      </c>
    </row>
    <row r="196" spans="2:10" ht="21.75" x14ac:dyDescent="0.15">
      <c r="B196" s="123">
        <v>1</v>
      </c>
      <c r="C196" s="164" t="s">
        <v>28</v>
      </c>
      <c r="D196" s="125" t="s">
        <v>797</v>
      </c>
      <c r="E196" s="125" t="s">
        <v>787</v>
      </c>
      <c r="F196" s="165" t="s">
        <v>966</v>
      </c>
      <c r="G196" s="120" t="s">
        <v>770</v>
      </c>
      <c r="H196" s="166">
        <v>30000000</v>
      </c>
      <c r="I196" s="125" t="s">
        <v>987</v>
      </c>
      <c r="J196" s="125" t="s">
        <v>770</v>
      </c>
    </row>
    <row r="197" spans="2:10" ht="12" x14ac:dyDescent="0.15">
      <c r="B197" s="123">
        <v>1</v>
      </c>
      <c r="C197" s="164" t="s">
        <v>28</v>
      </c>
      <c r="D197" s="125" t="s">
        <v>797</v>
      </c>
      <c r="E197" s="125" t="s">
        <v>787</v>
      </c>
      <c r="F197" s="165" t="s">
        <v>966</v>
      </c>
      <c r="G197" s="120" t="s">
        <v>770</v>
      </c>
      <c r="H197" s="166">
        <v>54043777</v>
      </c>
      <c r="I197" s="125" t="s">
        <v>988</v>
      </c>
      <c r="J197" s="125" t="s">
        <v>770</v>
      </c>
    </row>
    <row r="198" spans="2:10" ht="21.75" x14ac:dyDescent="0.15">
      <c r="B198" s="123">
        <v>1</v>
      </c>
      <c r="C198" s="164" t="s">
        <v>28</v>
      </c>
      <c r="D198" s="125" t="s">
        <v>797</v>
      </c>
      <c r="E198" s="125" t="s">
        <v>787</v>
      </c>
      <c r="F198" s="165" t="s">
        <v>966</v>
      </c>
      <c r="G198" s="120" t="s">
        <v>770</v>
      </c>
      <c r="H198" s="166">
        <v>16500000</v>
      </c>
      <c r="I198" s="125" t="s">
        <v>989</v>
      </c>
      <c r="J198" s="125" t="s">
        <v>770</v>
      </c>
    </row>
    <row r="199" spans="2:10" ht="12" x14ac:dyDescent="0.15">
      <c r="B199" s="123">
        <v>1</v>
      </c>
      <c r="C199" s="164" t="s">
        <v>28</v>
      </c>
      <c r="D199" s="125" t="s">
        <v>797</v>
      </c>
      <c r="E199" s="125" t="s">
        <v>787</v>
      </c>
      <c r="F199" s="165" t="s">
        <v>966</v>
      </c>
      <c r="G199" s="120" t="s">
        <v>770</v>
      </c>
      <c r="H199" s="166">
        <v>27390000</v>
      </c>
      <c r="I199" s="125" t="s">
        <v>990</v>
      </c>
      <c r="J199" s="125" t="s">
        <v>770</v>
      </c>
    </row>
    <row r="200" spans="2:10" ht="12" x14ac:dyDescent="0.15">
      <c r="B200" s="123">
        <v>1</v>
      </c>
      <c r="C200" s="164" t="s">
        <v>28</v>
      </c>
      <c r="D200" s="125" t="s">
        <v>797</v>
      </c>
      <c r="E200" s="125" t="s">
        <v>787</v>
      </c>
      <c r="F200" s="165" t="s">
        <v>966</v>
      </c>
      <c r="G200" s="120" t="s">
        <v>770</v>
      </c>
      <c r="H200" s="166">
        <v>1000000</v>
      </c>
      <c r="I200" s="125" t="s">
        <v>991</v>
      </c>
      <c r="J200" s="125" t="s">
        <v>770</v>
      </c>
    </row>
    <row r="201" spans="2:10" ht="21.75" x14ac:dyDescent="0.15">
      <c r="B201" s="123">
        <v>1</v>
      </c>
      <c r="C201" s="164" t="s">
        <v>28</v>
      </c>
      <c r="D201" s="125" t="s">
        <v>797</v>
      </c>
      <c r="E201" s="125" t="s">
        <v>787</v>
      </c>
      <c r="F201" s="165" t="s">
        <v>966</v>
      </c>
      <c r="G201" s="120" t="s">
        <v>770</v>
      </c>
      <c r="H201" s="166">
        <v>500000</v>
      </c>
      <c r="I201" s="125" t="s">
        <v>992</v>
      </c>
      <c r="J201" s="125" t="s">
        <v>770</v>
      </c>
    </row>
    <row r="202" spans="2:10" ht="21.75" x14ac:dyDescent="0.15">
      <c r="B202" s="123">
        <v>1</v>
      </c>
      <c r="C202" s="164" t="s">
        <v>28</v>
      </c>
      <c r="D202" s="125" t="s">
        <v>797</v>
      </c>
      <c r="E202" s="125" t="s">
        <v>787</v>
      </c>
      <c r="F202" s="165" t="s">
        <v>966</v>
      </c>
      <c r="G202" s="120" t="s">
        <v>770</v>
      </c>
      <c r="H202" s="166">
        <v>1000000</v>
      </c>
      <c r="I202" s="125" t="s">
        <v>993</v>
      </c>
      <c r="J202" s="125" t="s">
        <v>770</v>
      </c>
    </row>
    <row r="203" spans="2:10" ht="21.75" x14ac:dyDescent="0.15">
      <c r="B203" s="123">
        <v>1</v>
      </c>
      <c r="C203" s="164" t="s">
        <v>28</v>
      </c>
      <c r="D203" s="125" t="s">
        <v>797</v>
      </c>
      <c r="E203" s="125" t="s">
        <v>787</v>
      </c>
      <c r="F203" s="165" t="s">
        <v>966</v>
      </c>
      <c r="G203" s="120" t="s">
        <v>770</v>
      </c>
      <c r="H203" s="166">
        <v>2000000</v>
      </c>
      <c r="I203" s="125" t="s">
        <v>994</v>
      </c>
      <c r="J203" s="125" t="s">
        <v>770</v>
      </c>
    </row>
    <row r="204" spans="2:10" ht="12" x14ac:dyDescent="0.15">
      <c r="B204" s="123">
        <v>1</v>
      </c>
      <c r="C204" s="164" t="s">
        <v>28</v>
      </c>
      <c r="D204" s="125" t="s">
        <v>797</v>
      </c>
      <c r="E204" s="125" t="s">
        <v>787</v>
      </c>
      <c r="F204" s="165" t="s">
        <v>966</v>
      </c>
      <c r="G204" s="120" t="s">
        <v>770</v>
      </c>
      <c r="H204" s="166">
        <v>2000000</v>
      </c>
      <c r="I204" s="125" t="s">
        <v>995</v>
      </c>
      <c r="J204" s="125" t="s">
        <v>770</v>
      </c>
    </row>
    <row r="205" spans="2:10" ht="12" x14ac:dyDescent="0.15">
      <c r="B205" s="123">
        <v>1</v>
      </c>
      <c r="C205" s="164" t="s">
        <v>28</v>
      </c>
      <c r="D205" s="125" t="s">
        <v>797</v>
      </c>
      <c r="E205" s="125" t="s">
        <v>787</v>
      </c>
      <c r="F205" s="165" t="s">
        <v>966</v>
      </c>
      <c r="G205" s="120" t="s">
        <v>770</v>
      </c>
      <c r="H205" s="166">
        <v>5000000</v>
      </c>
      <c r="I205" s="125" t="s">
        <v>996</v>
      </c>
      <c r="J205" s="125" t="s">
        <v>770</v>
      </c>
    </row>
    <row r="206" spans="2:10" ht="12" x14ac:dyDescent="0.15">
      <c r="B206" s="123">
        <v>1</v>
      </c>
      <c r="C206" s="164" t="s">
        <v>28</v>
      </c>
      <c r="D206" s="125" t="s">
        <v>797</v>
      </c>
      <c r="E206" s="125" t="s">
        <v>787</v>
      </c>
      <c r="F206" s="165" t="s">
        <v>966</v>
      </c>
      <c r="G206" s="120" t="s">
        <v>770</v>
      </c>
      <c r="H206" s="166">
        <v>3000000</v>
      </c>
      <c r="I206" s="125" t="s">
        <v>997</v>
      </c>
      <c r="J206" s="125" t="s">
        <v>770</v>
      </c>
    </row>
    <row r="207" spans="2:10" ht="12" x14ac:dyDescent="0.15">
      <c r="B207" s="123">
        <v>1</v>
      </c>
      <c r="C207" s="164" t="s">
        <v>28</v>
      </c>
      <c r="D207" s="125" t="s">
        <v>797</v>
      </c>
      <c r="E207" s="125" t="s">
        <v>787</v>
      </c>
      <c r="F207" s="165" t="s">
        <v>966</v>
      </c>
      <c r="G207" s="120" t="s">
        <v>770</v>
      </c>
      <c r="H207" s="166">
        <v>4876000</v>
      </c>
      <c r="I207" s="125" t="s">
        <v>998</v>
      </c>
      <c r="J207" s="125" t="s">
        <v>770</v>
      </c>
    </row>
    <row r="208" spans="2:10" ht="21.75" x14ac:dyDescent="0.15">
      <c r="B208" s="123">
        <v>1</v>
      </c>
      <c r="C208" s="164" t="s">
        <v>28</v>
      </c>
      <c r="D208" s="125" t="s">
        <v>797</v>
      </c>
      <c r="E208" s="125" t="s">
        <v>787</v>
      </c>
      <c r="F208" s="165" t="s">
        <v>966</v>
      </c>
      <c r="G208" s="120" t="s">
        <v>770</v>
      </c>
      <c r="H208" s="166">
        <v>30000000</v>
      </c>
      <c r="I208" s="125" t="s">
        <v>999</v>
      </c>
      <c r="J208" s="125" t="s">
        <v>770</v>
      </c>
    </row>
    <row r="209" spans="2:10" ht="21.75" x14ac:dyDescent="0.15">
      <c r="B209" s="123">
        <v>1</v>
      </c>
      <c r="C209" s="164" t="s">
        <v>28</v>
      </c>
      <c r="D209" s="125" t="s">
        <v>797</v>
      </c>
      <c r="E209" s="125" t="s">
        <v>787</v>
      </c>
      <c r="F209" s="165" t="s">
        <v>966</v>
      </c>
      <c r="G209" s="120" t="s">
        <v>770</v>
      </c>
      <c r="H209" s="166">
        <v>3566667</v>
      </c>
      <c r="I209" s="125" t="s">
        <v>1000</v>
      </c>
      <c r="J209" s="125" t="s">
        <v>770</v>
      </c>
    </row>
    <row r="210" spans="2:10" ht="21.75" x14ac:dyDescent="0.15">
      <c r="B210" s="123">
        <v>1</v>
      </c>
      <c r="C210" s="164" t="s">
        <v>28</v>
      </c>
      <c r="D210" s="125" t="s">
        <v>797</v>
      </c>
      <c r="E210" s="125" t="s">
        <v>787</v>
      </c>
      <c r="F210" s="165" t="s">
        <v>966</v>
      </c>
      <c r="G210" s="120" t="s">
        <v>770</v>
      </c>
      <c r="H210" s="166">
        <v>3000000</v>
      </c>
      <c r="I210" s="125" t="s">
        <v>1001</v>
      </c>
      <c r="J210" s="125" t="s">
        <v>770</v>
      </c>
    </row>
    <row r="211" spans="2:10" ht="12" x14ac:dyDescent="0.15">
      <c r="B211" s="123">
        <v>1</v>
      </c>
      <c r="C211" s="164" t="s">
        <v>28</v>
      </c>
      <c r="D211" s="125" t="s">
        <v>797</v>
      </c>
      <c r="E211" s="125" t="s">
        <v>787</v>
      </c>
      <c r="F211" s="165" t="s">
        <v>966</v>
      </c>
      <c r="G211" s="120" t="s">
        <v>770</v>
      </c>
      <c r="H211" s="166">
        <v>4500000</v>
      </c>
      <c r="I211" s="125" t="s">
        <v>1002</v>
      </c>
      <c r="J211" s="125" t="s">
        <v>770</v>
      </c>
    </row>
    <row r="212" spans="2:10" ht="12" x14ac:dyDescent="0.15">
      <c r="B212" s="123">
        <v>1</v>
      </c>
      <c r="C212" s="164" t="s">
        <v>28</v>
      </c>
      <c r="D212" s="125" t="s">
        <v>797</v>
      </c>
      <c r="E212" s="125" t="s">
        <v>787</v>
      </c>
      <c r="F212" s="165" t="s">
        <v>966</v>
      </c>
      <c r="G212" s="120" t="s">
        <v>770</v>
      </c>
      <c r="H212" s="166">
        <v>17695000</v>
      </c>
      <c r="I212" s="125" t="s">
        <v>1003</v>
      </c>
      <c r="J212" s="125" t="s">
        <v>770</v>
      </c>
    </row>
    <row r="213" spans="2:10" ht="12" x14ac:dyDescent="0.15">
      <c r="B213" s="123">
        <v>1</v>
      </c>
      <c r="C213" s="164" t="s">
        <v>28</v>
      </c>
      <c r="D213" s="125" t="s">
        <v>797</v>
      </c>
      <c r="E213" s="125" t="s">
        <v>787</v>
      </c>
      <c r="F213" s="165" t="s">
        <v>966</v>
      </c>
      <c r="G213" s="120" t="s">
        <v>770</v>
      </c>
      <c r="H213" s="166">
        <v>18000000</v>
      </c>
      <c r="I213" s="125" t="s">
        <v>1004</v>
      </c>
      <c r="J213" s="125" t="s">
        <v>770</v>
      </c>
    </row>
    <row r="214" spans="2:10" ht="12" x14ac:dyDescent="0.15">
      <c r="B214" s="123">
        <v>1</v>
      </c>
      <c r="C214" s="164" t="s">
        <v>28</v>
      </c>
      <c r="D214" s="125" t="s">
        <v>797</v>
      </c>
      <c r="E214" s="125" t="s">
        <v>787</v>
      </c>
      <c r="F214" s="165" t="s">
        <v>966</v>
      </c>
      <c r="G214" s="120" t="s">
        <v>770</v>
      </c>
      <c r="H214" s="166">
        <v>3000000</v>
      </c>
      <c r="I214" s="125" t="s">
        <v>1005</v>
      </c>
      <c r="J214" s="125" t="s">
        <v>770</v>
      </c>
    </row>
    <row r="215" spans="2:10" ht="21.75" x14ac:dyDescent="0.15">
      <c r="B215" s="123">
        <v>1</v>
      </c>
      <c r="C215" s="164" t="s">
        <v>28</v>
      </c>
      <c r="D215" s="125" t="s">
        <v>797</v>
      </c>
      <c r="E215" s="125" t="s">
        <v>787</v>
      </c>
      <c r="F215" s="165" t="s">
        <v>966</v>
      </c>
      <c r="G215" s="120" t="s">
        <v>770</v>
      </c>
      <c r="H215" s="166">
        <v>61930000</v>
      </c>
      <c r="I215" s="125" t="s">
        <v>1006</v>
      </c>
      <c r="J215" s="125" t="s">
        <v>770</v>
      </c>
    </row>
    <row r="216" spans="2:10" ht="21.75" x14ac:dyDescent="0.15">
      <c r="B216" s="123">
        <v>1</v>
      </c>
      <c r="C216" s="164" t="s">
        <v>28</v>
      </c>
      <c r="D216" s="125" t="s">
        <v>797</v>
      </c>
      <c r="E216" s="125" t="s">
        <v>787</v>
      </c>
      <c r="F216" s="165" t="s">
        <v>966</v>
      </c>
      <c r="G216" s="120" t="s">
        <v>770</v>
      </c>
      <c r="H216" s="166">
        <v>4300000</v>
      </c>
      <c r="I216" s="125" t="s">
        <v>1007</v>
      </c>
      <c r="J216" s="125" t="s">
        <v>770</v>
      </c>
    </row>
    <row r="217" spans="2:10" ht="21.75" x14ac:dyDescent="0.15">
      <c r="B217" s="123">
        <v>1</v>
      </c>
      <c r="C217" s="164" t="s">
        <v>28</v>
      </c>
      <c r="D217" s="125" t="s">
        <v>797</v>
      </c>
      <c r="E217" s="125" t="s">
        <v>787</v>
      </c>
      <c r="F217" s="165" t="s">
        <v>966</v>
      </c>
      <c r="G217" s="120" t="s">
        <v>770</v>
      </c>
      <c r="H217" s="166">
        <v>7800000</v>
      </c>
      <c r="I217" s="125" t="s">
        <v>1008</v>
      </c>
      <c r="J217" s="125" t="s">
        <v>770</v>
      </c>
    </row>
    <row r="218" spans="2:10" ht="12" x14ac:dyDescent="0.15">
      <c r="B218" s="123">
        <v>1</v>
      </c>
      <c r="C218" s="164" t="s">
        <v>28</v>
      </c>
      <c r="D218" s="125" t="s">
        <v>797</v>
      </c>
      <c r="E218" s="125" t="s">
        <v>787</v>
      </c>
      <c r="F218" s="165" t="s">
        <v>966</v>
      </c>
      <c r="G218" s="120" t="s">
        <v>770</v>
      </c>
      <c r="H218" s="166">
        <v>60383902</v>
      </c>
      <c r="I218" s="125" t="s">
        <v>1009</v>
      </c>
      <c r="J218" s="125" t="s">
        <v>770</v>
      </c>
    </row>
    <row r="219" spans="2:10" ht="21.75" x14ac:dyDescent="0.15">
      <c r="B219" s="123">
        <v>1</v>
      </c>
      <c r="C219" s="164" t="s">
        <v>28</v>
      </c>
      <c r="D219" s="125" t="s">
        <v>797</v>
      </c>
      <c r="E219" s="125" t="s">
        <v>787</v>
      </c>
      <c r="F219" s="165">
        <v>44532</v>
      </c>
      <c r="G219" s="120" t="s">
        <v>770</v>
      </c>
      <c r="H219" s="166">
        <v>29858859</v>
      </c>
      <c r="I219" s="125" t="s">
        <v>1010</v>
      </c>
      <c r="J219" s="125" t="s">
        <v>770</v>
      </c>
    </row>
    <row r="220" spans="2:10" ht="21.75" x14ac:dyDescent="0.15">
      <c r="B220" s="123">
        <v>2</v>
      </c>
      <c r="C220" s="164" t="s">
        <v>32</v>
      </c>
      <c r="D220" s="125" t="s">
        <v>1011</v>
      </c>
      <c r="E220" s="125" t="s">
        <v>787</v>
      </c>
      <c r="F220" s="165">
        <v>44492</v>
      </c>
      <c r="G220" s="120" t="s">
        <v>770</v>
      </c>
      <c r="H220" s="166">
        <v>450000000</v>
      </c>
      <c r="I220" s="125" t="s">
        <v>1012</v>
      </c>
      <c r="J220" s="125" t="s">
        <v>696</v>
      </c>
    </row>
    <row r="221" spans="2:10" ht="12" x14ac:dyDescent="0.15">
      <c r="B221" s="123">
        <v>2</v>
      </c>
      <c r="C221" s="164" t="s">
        <v>32</v>
      </c>
      <c r="D221" s="125" t="s">
        <v>1013</v>
      </c>
      <c r="E221" s="125" t="s">
        <v>787</v>
      </c>
      <c r="F221" s="165">
        <v>44537</v>
      </c>
      <c r="G221" s="120" t="s">
        <v>770</v>
      </c>
      <c r="H221" s="166">
        <v>495293900</v>
      </c>
      <c r="I221" s="125" t="s">
        <v>1014</v>
      </c>
      <c r="J221" s="125" t="s">
        <v>696</v>
      </c>
    </row>
    <row r="222" spans="2:10" ht="12" x14ac:dyDescent="0.15">
      <c r="B222" s="123">
        <v>2</v>
      </c>
      <c r="C222" s="164" t="s">
        <v>32</v>
      </c>
      <c r="D222" s="125" t="s">
        <v>1015</v>
      </c>
      <c r="E222" s="125" t="s">
        <v>787</v>
      </c>
      <c r="F222" s="165">
        <v>44505</v>
      </c>
      <c r="G222" s="120" t="s">
        <v>770</v>
      </c>
      <c r="H222" s="166">
        <v>340000000</v>
      </c>
      <c r="I222" s="125" t="s">
        <v>1016</v>
      </c>
      <c r="J222" s="125" t="s">
        <v>696</v>
      </c>
    </row>
    <row r="223" spans="2:10" ht="21.75" x14ac:dyDescent="0.15">
      <c r="B223" s="123">
        <v>2</v>
      </c>
      <c r="C223" s="164" t="s">
        <v>32</v>
      </c>
      <c r="D223" s="125" t="s">
        <v>1015</v>
      </c>
      <c r="E223" s="125" t="s">
        <v>787</v>
      </c>
      <c r="F223" s="165">
        <v>44186</v>
      </c>
      <c r="G223" s="120" t="s">
        <v>770</v>
      </c>
      <c r="H223" s="166">
        <v>310000000</v>
      </c>
      <c r="I223" s="125" t="s">
        <v>1017</v>
      </c>
      <c r="J223" s="125" t="s">
        <v>696</v>
      </c>
    </row>
    <row r="224" spans="2:10" ht="21.75" x14ac:dyDescent="0.15">
      <c r="B224" s="123">
        <v>2</v>
      </c>
      <c r="C224" s="164" t="s">
        <v>32</v>
      </c>
      <c r="D224" s="125" t="s">
        <v>1018</v>
      </c>
      <c r="E224" s="125" t="s">
        <v>787</v>
      </c>
      <c r="F224" s="165">
        <v>44280</v>
      </c>
      <c r="G224" s="120" t="s">
        <v>770</v>
      </c>
      <c r="H224" s="166">
        <v>291867408</v>
      </c>
      <c r="I224" s="125" t="s">
        <v>1019</v>
      </c>
      <c r="J224" s="125" t="s">
        <v>696</v>
      </c>
    </row>
    <row r="225" spans="2:10" ht="12" x14ac:dyDescent="0.15">
      <c r="B225" s="123">
        <v>2</v>
      </c>
      <c r="C225" s="164" t="s">
        <v>32</v>
      </c>
      <c r="D225" s="125" t="s">
        <v>1020</v>
      </c>
      <c r="E225" s="125" t="s">
        <v>787</v>
      </c>
      <c r="F225" s="165">
        <v>44389</v>
      </c>
      <c r="G225" s="120" t="s">
        <v>770</v>
      </c>
      <c r="H225" s="166">
        <v>500000000</v>
      </c>
      <c r="I225" s="125" t="s">
        <v>1021</v>
      </c>
      <c r="J225" s="125" t="s">
        <v>696</v>
      </c>
    </row>
    <row r="226" spans="2:10" ht="21.75" x14ac:dyDescent="0.15">
      <c r="B226" s="123">
        <v>2</v>
      </c>
      <c r="C226" s="164" t="s">
        <v>32</v>
      </c>
      <c r="D226" s="125" t="s">
        <v>1022</v>
      </c>
      <c r="E226" s="125" t="s">
        <v>787</v>
      </c>
      <c r="F226" s="165">
        <v>44536</v>
      </c>
      <c r="G226" s="120" t="s">
        <v>770</v>
      </c>
      <c r="H226" s="166">
        <v>750000000</v>
      </c>
      <c r="I226" s="125" t="s">
        <v>1023</v>
      </c>
      <c r="J226" s="125" t="s">
        <v>696</v>
      </c>
    </row>
    <row r="227" spans="2:10" ht="12" x14ac:dyDescent="0.15">
      <c r="B227" s="123">
        <v>2</v>
      </c>
      <c r="C227" s="164" t="s">
        <v>32</v>
      </c>
      <c r="D227" s="125" t="s">
        <v>1024</v>
      </c>
      <c r="E227" s="125" t="s">
        <v>787</v>
      </c>
      <c r="F227" s="165">
        <v>44195</v>
      </c>
      <c r="G227" s="120" t="s">
        <v>770</v>
      </c>
      <c r="H227" s="166">
        <v>93165000</v>
      </c>
      <c r="I227" s="125" t="s">
        <v>1025</v>
      </c>
      <c r="J227" s="125" t="s">
        <v>696</v>
      </c>
    </row>
    <row r="228" spans="2:10" ht="21.75" x14ac:dyDescent="0.15">
      <c r="B228" s="123">
        <v>2</v>
      </c>
      <c r="C228" s="164" t="s">
        <v>32</v>
      </c>
      <c r="D228" s="125" t="s">
        <v>1026</v>
      </c>
      <c r="E228" s="125" t="s">
        <v>787</v>
      </c>
      <c r="F228" s="165">
        <v>44384</v>
      </c>
      <c r="G228" s="120" t="s">
        <v>770</v>
      </c>
      <c r="H228" s="166">
        <v>721920300</v>
      </c>
      <c r="I228" s="125" t="s">
        <v>1027</v>
      </c>
      <c r="J228" s="125" t="s">
        <v>696</v>
      </c>
    </row>
    <row r="229" spans="2:10" ht="21.75" x14ac:dyDescent="0.15">
      <c r="B229" s="123">
        <v>2</v>
      </c>
      <c r="C229" s="164" t="s">
        <v>32</v>
      </c>
      <c r="D229" s="125" t="s">
        <v>1028</v>
      </c>
      <c r="E229" s="125" t="s">
        <v>787</v>
      </c>
      <c r="F229" s="165">
        <v>44467</v>
      </c>
      <c r="G229" s="120" t="s">
        <v>770</v>
      </c>
      <c r="H229" s="166">
        <v>8299573305</v>
      </c>
      <c r="I229" s="125" t="s">
        <v>1029</v>
      </c>
      <c r="J229" s="125" t="s">
        <v>696</v>
      </c>
    </row>
    <row r="230" spans="2:10" ht="21.75" x14ac:dyDescent="0.15">
      <c r="B230" s="123">
        <v>2</v>
      </c>
      <c r="C230" s="164" t="s">
        <v>32</v>
      </c>
      <c r="D230" s="125" t="s">
        <v>1030</v>
      </c>
      <c r="E230" s="125" t="s">
        <v>787</v>
      </c>
      <c r="F230" s="165">
        <v>44461</v>
      </c>
      <c r="G230" s="120" t="s">
        <v>770</v>
      </c>
      <c r="H230" s="166">
        <v>674428320</v>
      </c>
      <c r="I230" s="125" t="s">
        <v>1031</v>
      </c>
      <c r="J230" s="125" t="s">
        <v>696</v>
      </c>
    </row>
    <row r="231" spans="2:10" ht="21.75" x14ac:dyDescent="0.15">
      <c r="B231" s="123">
        <v>2</v>
      </c>
      <c r="C231" s="164" t="s">
        <v>32</v>
      </c>
      <c r="D231" s="125" t="s">
        <v>1030</v>
      </c>
      <c r="E231" s="125" t="s">
        <v>787</v>
      </c>
      <c r="F231" s="165">
        <v>44495</v>
      </c>
      <c r="G231" s="120" t="s">
        <v>770</v>
      </c>
      <c r="H231" s="166">
        <v>291960000</v>
      </c>
      <c r="I231" s="125" t="s">
        <v>1032</v>
      </c>
      <c r="J231" s="125" t="s">
        <v>696</v>
      </c>
    </row>
    <row r="232" spans="2:10" ht="21.75" x14ac:dyDescent="0.15">
      <c r="B232" s="123">
        <v>2</v>
      </c>
      <c r="C232" s="164" t="s">
        <v>32</v>
      </c>
      <c r="D232" s="125" t="s">
        <v>1033</v>
      </c>
      <c r="E232" s="125" t="s">
        <v>787</v>
      </c>
      <c r="F232" s="165">
        <v>44246</v>
      </c>
      <c r="G232" s="120" t="s">
        <v>770</v>
      </c>
      <c r="H232" s="166">
        <v>964514207</v>
      </c>
      <c r="I232" s="125" t="s">
        <v>1034</v>
      </c>
      <c r="J232" s="125" t="s">
        <v>696</v>
      </c>
    </row>
    <row r="233" spans="2:10" ht="21.75" x14ac:dyDescent="0.15">
      <c r="B233" s="123">
        <v>2</v>
      </c>
      <c r="C233" s="164" t="s">
        <v>32</v>
      </c>
      <c r="D233" s="125" t="s">
        <v>1033</v>
      </c>
      <c r="E233" s="125" t="s">
        <v>787</v>
      </c>
      <c r="F233" s="165">
        <v>44306</v>
      </c>
      <c r="G233" s="120" t="s">
        <v>770</v>
      </c>
      <c r="H233" s="166">
        <v>126615358</v>
      </c>
      <c r="I233" s="125" t="s">
        <v>1034</v>
      </c>
      <c r="J233" s="125" t="s">
        <v>696</v>
      </c>
    </row>
    <row r="234" spans="2:10" ht="21.75" x14ac:dyDescent="0.15">
      <c r="B234" s="123">
        <v>2</v>
      </c>
      <c r="C234" s="164" t="s">
        <v>32</v>
      </c>
      <c r="D234" s="125" t="s">
        <v>1035</v>
      </c>
      <c r="E234" s="125" t="s">
        <v>787</v>
      </c>
      <c r="F234" s="165">
        <v>44382</v>
      </c>
      <c r="G234" s="120" t="s">
        <v>770</v>
      </c>
      <c r="H234" s="166">
        <v>360000000</v>
      </c>
      <c r="I234" s="125" t="s">
        <v>1036</v>
      </c>
      <c r="J234" s="125" t="s">
        <v>696</v>
      </c>
    </row>
    <row r="235" spans="2:10" ht="21.75" x14ac:dyDescent="0.15">
      <c r="B235" s="123">
        <v>2</v>
      </c>
      <c r="C235" s="164" t="s">
        <v>32</v>
      </c>
      <c r="D235" s="125" t="s">
        <v>1035</v>
      </c>
      <c r="E235" s="125" t="s">
        <v>787</v>
      </c>
      <c r="F235" s="165">
        <v>44382</v>
      </c>
      <c r="G235" s="120" t="s">
        <v>770</v>
      </c>
      <c r="H235" s="166">
        <v>300000000</v>
      </c>
      <c r="I235" s="125" t="s">
        <v>1037</v>
      </c>
      <c r="J235" s="125" t="s">
        <v>696</v>
      </c>
    </row>
    <row r="236" spans="2:10" ht="21.75" x14ac:dyDescent="0.15">
      <c r="B236" s="123">
        <v>2</v>
      </c>
      <c r="C236" s="164" t="s">
        <v>32</v>
      </c>
      <c r="D236" s="125" t="s">
        <v>1038</v>
      </c>
      <c r="E236" s="125" t="s">
        <v>787</v>
      </c>
      <c r="F236" s="165">
        <v>44383</v>
      </c>
      <c r="G236" s="120" t="s">
        <v>770</v>
      </c>
      <c r="H236" s="166">
        <v>1078837550</v>
      </c>
      <c r="I236" s="125" t="s">
        <v>1039</v>
      </c>
      <c r="J236" s="125" t="s">
        <v>696</v>
      </c>
    </row>
    <row r="237" spans="2:10" ht="21.75" x14ac:dyDescent="0.15">
      <c r="B237" s="123">
        <v>2</v>
      </c>
      <c r="C237" s="164" t="s">
        <v>32</v>
      </c>
      <c r="D237" s="125" t="s">
        <v>1040</v>
      </c>
      <c r="E237" s="125" t="s">
        <v>787</v>
      </c>
      <c r="F237" s="165">
        <v>44470</v>
      </c>
      <c r="G237" s="120" t="s">
        <v>770</v>
      </c>
      <c r="H237" s="166">
        <v>360000000</v>
      </c>
      <c r="I237" s="125" t="s">
        <v>1041</v>
      </c>
      <c r="J237" s="125" t="s">
        <v>696</v>
      </c>
    </row>
    <row r="238" spans="2:10" ht="21.75" x14ac:dyDescent="0.15">
      <c r="B238" s="123">
        <v>2</v>
      </c>
      <c r="C238" s="164" t="s">
        <v>32</v>
      </c>
      <c r="D238" s="125" t="s">
        <v>1040</v>
      </c>
      <c r="E238" s="125" t="s">
        <v>787</v>
      </c>
      <c r="F238" s="165">
        <v>44386</v>
      </c>
      <c r="G238" s="120" t="s">
        <v>770</v>
      </c>
      <c r="H238" s="166">
        <v>966343981</v>
      </c>
      <c r="I238" s="125" t="s">
        <v>1042</v>
      </c>
      <c r="J238" s="125" t="s">
        <v>696</v>
      </c>
    </row>
    <row r="239" spans="2:10" ht="12" x14ac:dyDescent="0.15">
      <c r="B239" s="123">
        <v>2</v>
      </c>
      <c r="C239" s="164" t="s">
        <v>32</v>
      </c>
      <c r="D239" s="125" t="s">
        <v>1043</v>
      </c>
      <c r="E239" s="125" t="s">
        <v>787</v>
      </c>
      <c r="F239" s="165">
        <v>44491</v>
      </c>
      <c r="G239" s="120" t="s">
        <v>770</v>
      </c>
      <c r="H239" s="166">
        <v>500000000</v>
      </c>
      <c r="I239" s="125" t="s">
        <v>1044</v>
      </c>
      <c r="J239" s="125" t="s">
        <v>696</v>
      </c>
    </row>
    <row r="240" spans="2:10" ht="21.75" x14ac:dyDescent="0.15">
      <c r="B240" s="123">
        <v>2</v>
      </c>
      <c r="C240" s="164" t="s">
        <v>32</v>
      </c>
      <c r="D240" s="125" t="s">
        <v>1045</v>
      </c>
      <c r="E240" s="125" t="s">
        <v>787</v>
      </c>
      <c r="F240" s="165">
        <v>44384</v>
      </c>
      <c r="G240" s="120" t="s">
        <v>770</v>
      </c>
      <c r="H240" s="166">
        <v>960433954</v>
      </c>
      <c r="I240" s="125" t="s">
        <v>1046</v>
      </c>
      <c r="J240" s="125" t="s">
        <v>696</v>
      </c>
    </row>
    <row r="241" spans="2:12" ht="21.75" x14ac:dyDescent="0.15">
      <c r="B241" s="123">
        <v>2</v>
      </c>
      <c r="C241" s="164" t="s">
        <v>32</v>
      </c>
      <c r="D241" s="125" t="s">
        <v>1045</v>
      </c>
      <c r="E241" s="125" t="s">
        <v>787</v>
      </c>
      <c r="F241" s="165">
        <v>44518</v>
      </c>
      <c r="G241" s="120" t="s">
        <v>770</v>
      </c>
      <c r="H241" s="166">
        <v>44580187</v>
      </c>
      <c r="I241" s="125" t="s">
        <v>1046</v>
      </c>
      <c r="J241" s="125" t="s">
        <v>696</v>
      </c>
    </row>
    <row r="242" spans="2:12" ht="12" x14ac:dyDescent="0.15">
      <c r="B242" s="123">
        <v>4</v>
      </c>
      <c r="C242" s="164" t="s">
        <v>44</v>
      </c>
      <c r="D242" s="125" t="s">
        <v>1047</v>
      </c>
      <c r="E242" s="125" t="s">
        <v>1048</v>
      </c>
      <c r="F242" s="165">
        <v>2021</v>
      </c>
      <c r="G242" s="120" t="s">
        <v>770</v>
      </c>
      <c r="H242" s="166">
        <v>52035614</v>
      </c>
      <c r="I242" s="125" t="s">
        <v>1049</v>
      </c>
      <c r="J242" s="125" t="s">
        <v>770</v>
      </c>
      <c r="L242" s="76"/>
    </row>
    <row r="243" spans="2:12" ht="12" x14ac:dyDescent="0.15">
      <c r="B243" s="123">
        <v>4</v>
      </c>
      <c r="C243" s="164" t="s">
        <v>44</v>
      </c>
      <c r="D243" s="125" t="s">
        <v>1047</v>
      </c>
      <c r="E243" s="125" t="s">
        <v>1048</v>
      </c>
      <c r="F243" s="165">
        <v>2021</v>
      </c>
      <c r="G243" s="120" t="s">
        <v>770</v>
      </c>
      <c r="H243" s="166">
        <v>34975620</v>
      </c>
      <c r="I243" s="125" t="s">
        <v>1050</v>
      </c>
      <c r="J243" s="125" t="s">
        <v>770</v>
      </c>
      <c r="L243" s="76"/>
    </row>
    <row r="244" spans="2:12" ht="12" x14ac:dyDescent="0.15">
      <c r="B244" s="123">
        <v>4</v>
      </c>
      <c r="C244" s="164" t="s">
        <v>44</v>
      </c>
      <c r="D244" s="125" t="s">
        <v>1047</v>
      </c>
      <c r="E244" s="125" t="s">
        <v>1048</v>
      </c>
      <c r="F244" s="165">
        <v>2021</v>
      </c>
      <c r="G244" s="120" t="s">
        <v>770</v>
      </c>
      <c r="H244" s="166">
        <v>4639778</v>
      </c>
      <c r="I244" s="125" t="s">
        <v>1051</v>
      </c>
      <c r="J244" s="125" t="s">
        <v>770</v>
      </c>
      <c r="L244" s="76"/>
    </row>
    <row r="245" spans="2:12" ht="12" x14ac:dyDescent="0.15">
      <c r="B245" s="123">
        <v>4</v>
      </c>
      <c r="C245" s="164" t="s">
        <v>44</v>
      </c>
      <c r="D245" s="125" t="s">
        <v>1047</v>
      </c>
      <c r="E245" s="125" t="s">
        <v>1048</v>
      </c>
      <c r="F245" s="165">
        <v>2021</v>
      </c>
      <c r="G245" s="120" t="s">
        <v>770</v>
      </c>
      <c r="H245" s="166">
        <v>60998876</v>
      </c>
      <c r="I245" s="125" t="s">
        <v>1052</v>
      </c>
      <c r="J245" s="125" t="s">
        <v>770</v>
      </c>
      <c r="L245" s="76"/>
    </row>
    <row r="246" spans="2:12" ht="12" x14ac:dyDescent="0.15">
      <c r="B246" s="123">
        <v>4</v>
      </c>
      <c r="C246" s="164" t="s">
        <v>44</v>
      </c>
      <c r="D246" s="125" t="s">
        <v>1047</v>
      </c>
      <c r="E246" s="125" t="s">
        <v>1048</v>
      </c>
      <c r="F246" s="165">
        <v>2021</v>
      </c>
      <c r="G246" s="120" t="s">
        <v>770</v>
      </c>
      <c r="H246" s="166">
        <v>6903302</v>
      </c>
      <c r="I246" s="125" t="s">
        <v>1053</v>
      </c>
      <c r="J246" s="125" t="s">
        <v>770</v>
      </c>
      <c r="L246" s="76"/>
    </row>
    <row r="247" spans="2:12" ht="12" x14ac:dyDescent="0.15">
      <c r="B247" s="123">
        <v>4</v>
      </c>
      <c r="C247" s="164" t="s">
        <v>44</v>
      </c>
      <c r="D247" s="125" t="s">
        <v>1047</v>
      </c>
      <c r="E247" s="125" t="s">
        <v>1048</v>
      </c>
      <c r="F247" s="165">
        <v>2021</v>
      </c>
      <c r="G247" s="120" t="s">
        <v>770</v>
      </c>
      <c r="H247" s="166">
        <v>425454</v>
      </c>
      <c r="I247" s="125" t="s">
        <v>1054</v>
      </c>
      <c r="J247" s="125" t="s">
        <v>770</v>
      </c>
      <c r="L247" s="76"/>
    </row>
    <row r="248" spans="2:12" ht="12" x14ac:dyDescent="0.15">
      <c r="B248" s="123">
        <v>4</v>
      </c>
      <c r="C248" s="164" t="s">
        <v>44</v>
      </c>
      <c r="D248" s="125" t="s">
        <v>1047</v>
      </c>
      <c r="E248" s="125" t="s">
        <v>1048</v>
      </c>
      <c r="F248" s="165">
        <v>2021</v>
      </c>
      <c r="G248" s="120" t="s">
        <v>770</v>
      </c>
      <c r="H248" s="166">
        <v>89101087</v>
      </c>
      <c r="I248" s="125" t="s">
        <v>1055</v>
      </c>
      <c r="J248" s="125" t="s">
        <v>770</v>
      </c>
      <c r="L248" s="76"/>
    </row>
    <row r="249" spans="2:12" ht="12" x14ac:dyDescent="0.15">
      <c r="B249" s="123">
        <v>4</v>
      </c>
      <c r="C249" s="164" t="s">
        <v>44</v>
      </c>
      <c r="D249" s="125" t="s">
        <v>1047</v>
      </c>
      <c r="E249" s="125" t="s">
        <v>1048</v>
      </c>
      <c r="F249" s="165">
        <v>2021</v>
      </c>
      <c r="G249" s="120" t="s">
        <v>770</v>
      </c>
      <c r="H249" s="166">
        <v>144247179</v>
      </c>
      <c r="I249" s="125" t="s">
        <v>1056</v>
      </c>
      <c r="J249" s="125" t="s">
        <v>770</v>
      </c>
      <c r="L249" s="76"/>
    </row>
    <row r="250" spans="2:12" ht="12" x14ac:dyDescent="0.15">
      <c r="B250" s="123">
        <v>4</v>
      </c>
      <c r="C250" s="164" t="s">
        <v>44</v>
      </c>
      <c r="D250" s="125" t="s">
        <v>1047</v>
      </c>
      <c r="E250" s="125" t="s">
        <v>1048</v>
      </c>
      <c r="F250" s="165">
        <v>2021</v>
      </c>
      <c r="G250" s="120" t="s">
        <v>770</v>
      </c>
      <c r="H250" s="166">
        <v>96818170</v>
      </c>
      <c r="I250" s="125" t="s">
        <v>1057</v>
      </c>
      <c r="J250" s="125" t="s">
        <v>770</v>
      </c>
      <c r="L250" s="76"/>
    </row>
    <row r="251" spans="2:12" ht="12" x14ac:dyDescent="0.15">
      <c r="B251" s="123">
        <v>4</v>
      </c>
      <c r="C251" s="164" t="s">
        <v>44</v>
      </c>
      <c r="D251" s="125" t="s">
        <v>1047</v>
      </c>
      <c r="E251" s="125" t="s">
        <v>1048</v>
      </c>
      <c r="F251" s="165">
        <v>2021</v>
      </c>
      <c r="G251" s="120" t="s">
        <v>770</v>
      </c>
      <c r="H251" s="166">
        <v>180768203</v>
      </c>
      <c r="I251" s="125" t="s">
        <v>1058</v>
      </c>
      <c r="J251" s="125" t="s">
        <v>770</v>
      </c>
      <c r="L251" s="76"/>
    </row>
    <row r="252" spans="2:12" ht="12" x14ac:dyDescent="0.15">
      <c r="B252" s="123">
        <v>4</v>
      </c>
      <c r="C252" s="164" t="s">
        <v>44</v>
      </c>
      <c r="D252" s="125" t="s">
        <v>1047</v>
      </c>
      <c r="E252" s="125" t="s">
        <v>1048</v>
      </c>
      <c r="F252" s="165">
        <v>2021</v>
      </c>
      <c r="G252" s="120" t="s">
        <v>770</v>
      </c>
      <c r="H252" s="166">
        <v>32243769</v>
      </c>
      <c r="I252" s="125" t="s">
        <v>1059</v>
      </c>
      <c r="J252" s="125" t="s">
        <v>770</v>
      </c>
      <c r="L252" s="76"/>
    </row>
    <row r="253" spans="2:12" ht="12" x14ac:dyDescent="0.15">
      <c r="B253" s="123">
        <v>4</v>
      </c>
      <c r="C253" s="164" t="s">
        <v>44</v>
      </c>
      <c r="D253" s="125" t="s">
        <v>1047</v>
      </c>
      <c r="E253" s="125" t="s">
        <v>1048</v>
      </c>
      <c r="F253" s="165">
        <v>2021</v>
      </c>
      <c r="G253" s="120" t="s">
        <v>770</v>
      </c>
      <c r="H253" s="166">
        <v>20665645</v>
      </c>
      <c r="I253" s="125" t="s">
        <v>1060</v>
      </c>
      <c r="J253" s="125" t="s">
        <v>770</v>
      </c>
      <c r="L253" s="76"/>
    </row>
    <row r="254" spans="2:12" ht="12" x14ac:dyDescent="0.15">
      <c r="B254" s="123">
        <v>4</v>
      </c>
      <c r="C254" s="164" t="s">
        <v>44</v>
      </c>
      <c r="D254" s="125" t="s">
        <v>1047</v>
      </c>
      <c r="E254" s="125" t="s">
        <v>1048</v>
      </c>
      <c r="F254" s="165">
        <v>2021</v>
      </c>
      <c r="G254" s="120" t="s">
        <v>770</v>
      </c>
      <c r="H254" s="166">
        <v>106065807</v>
      </c>
      <c r="I254" s="125" t="s">
        <v>1061</v>
      </c>
      <c r="J254" s="125" t="s">
        <v>770</v>
      </c>
      <c r="L254" s="76"/>
    </row>
    <row r="255" spans="2:12" ht="12" x14ac:dyDescent="0.15">
      <c r="B255" s="123">
        <v>4</v>
      </c>
      <c r="C255" s="164" t="s">
        <v>44</v>
      </c>
      <c r="D255" s="125" t="s">
        <v>1047</v>
      </c>
      <c r="E255" s="125" t="s">
        <v>1048</v>
      </c>
      <c r="F255" s="165">
        <v>2021</v>
      </c>
      <c r="G255" s="120" t="s">
        <v>770</v>
      </c>
      <c r="H255" s="166">
        <v>18166925</v>
      </c>
      <c r="I255" s="125" t="s">
        <v>1062</v>
      </c>
      <c r="J255" s="125" t="s">
        <v>770</v>
      </c>
      <c r="L255" s="76"/>
    </row>
    <row r="256" spans="2:12" ht="12" x14ac:dyDescent="0.15">
      <c r="B256" s="121">
        <v>13</v>
      </c>
      <c r="C256" s="167" t="s">
        <v>70</v>
      </c>
      <c r="D256" s="168" t="s">
        <v>770</v>
      </c>
      <c r="E256" s="168" t="s">
        <v>770</v>
      </c>
      <c r="F256" s="169">
        <v>44362</v>
      </c>
      <c r="G256" s="122" t="s">
        <v>770</v>
      </c>
      <c r="H256" s="170">
        <v>24600000</v>
      </c>
      <c r="I256" s="168" t="s">
        <v>1063</v>
      </c>
      <c r="J256" s="125" t="s">
        <v>770</v>
      </c>
    </row>
    <row r="257" spans="2:10" ht="12" x14ac:dyDescent="0.15">
      <c r="B257" s="121">
        <v>13</v>
      </c>
      <c r="C257" s="167" t="s">
        <v>70</v>
      </c>
      <c r="D257" s="168" t="s">
        <v>770</v>
      </c>
      <c r="E257" s="168" t="s">
        <v>770</v>
      </c>
      <c r="F257" s="169">
        <v>44362</v>
      </c>
      <c r="G257" s="122" t="s">
        <v>770</v>
      </c>
      <c r="H257" s="170">
        <v>27000000</v>
      </c>
      <c r="I257" s="168" t="s">
        <v>1063</v>
      </c>
      <c r="J257" s="125" t="s">
        <v>770</v>
      </c>
    </row>
    <row r="258" spans="2:10" ht="12" x14ac:dyDescent="0.15">
      <c r="B258" s="121">
        <v>13</v>
      </c>
      <c r="C258" s="167" t="s">
        <v>70</v>
      </c>
      <c r="D258" s="168" t="s">
        <v>770</v>
      </c>
      <c r="E258" s="168" t="s">
        <v>770</v>
      </c>
      <c r="F258" s="169">
        <v>44362</v>
      </c>
      <c r="G258" s="122" t="s">
        <v>770</v>
      </c>
      <c r="H258" s="170">
        <v>1500000</v>
      </c>
      <c r="I258" s="168" t="s">
        <v>1063</v>
      </c>
      <c r="J258" s="125" t="s">
        <v>770</v>
      </c>
    </row>
    <row r="259" spans="2:10" ht="12" x14ac:dyDescent="0.15">
      <c r="B259" s="121">
        <v>13</v>
      </c>
      <c r="C259" s="167" t="s">
        <v>70</v>
      </c>
      <c r="D259" s="168" t="s">
        <v>770</v>
      </c>
      <c r="E259" s="168" t="s">
        <v>770</v>
      </c>
      <c r="F259" s="169">
        <v>44497</v>
      </c>
      <c r="G259" s="122" t="s">
        <v>770</v>
      </c>
      <c r="H259" s="170">
        <v>3.75</v>
      </c>
      <c r="I259" s="168" t="s">
        <v>1063</v>
      </c>
      <c r="J259" s="125" t="s">
        <v>770</v>
      </c>
    </row>
    <row r="260" spans="2:10" ht="12" x14ac:dyDescent="0.15">
      <c r="B260" s="121">
        <v>13</v>
      </c>
      <c r="C260" s="167" t="s">
        <v>70</v>
      </c>
      <c r="D260" s="168" t="s">
        <v>770</v>
      </c>
      <c r="E260" s="168" t="s">
        <v>770</v>
      </c>
      <c r="F260" s="169">
        <v>44497</v>
      </c>
      <c r="G260" s="122" t="s">
        <v>770</v>
      </c>
      <c r="H260" s="170">
        <v>322.33999999999997</v>
      </c>
      <c r="I260" s="168" t="s">
        <v>1063</v>
      </c>
      <c r="J260" s="125" t="s">
        <v>770</v>
      </c>
    </row>
    <row r="261" spans="2:10" ht="12" x14ac:dyDescent="0.15">
      <c r="B261" s="121">
        <v>13</v>
      </c>
      <c r="C261" s="167" t="s">
        <v>70</v>
      </c>
      <c r="D261" s="168" t="s">
        <v>770</v>
      </c>
      <c r="E261" s="168" t="s">
        <v>770</v>
      </c>
      <c r="F261" s="169">
        <v>44497</v>
      </c>
      <c r="G261" s="122" t="s">
        <v>770</v>
      </c>
      <c r="H261" s="170">
        <v>427.7</v>
      </c>
      <c r="I261" s="168" t="s">
        <v>1063</v>
      </c>
      <c r="J261" s="125" t="s">
        <v>770</v>
      </c>
    </row>
    <row r="262" spans="2:10" ht="12" x14ac:dyDescent="0.15">
      <c r="B262" s="121">
        <v>13</v>
      </c>
      <c r="C262" s="167" t="s">
        <v>70</v>
      </c>
      <c r="D262" s="168" t="s">
        <v>770</v>
      </c>
      <c r="E262" s="168" t="s">
        <v>770</v>
      </c>
      <c r="F262" s="169">
        <v>44497</v>
      </c>
      <c r="G262" s="122" t="s">
        <v>770</v>
      </c>
      <c r="H262" s="170">
        <v>24.64</v>
      </c>
      <c r="I262" s="168" t="s">
        <v>1063</v>
      </c>
      <c r="J262" s="125" t="s">
        <v>770</v>
      </c>
    </row>
    <row r="263" spans="2:10" ht="12" x14ac:dyDescent="0.15">
      <c r="B263" s="121">
        <v>13</v>
      </c>
      <c r="C263" s="167" t="s">
        <v>70</v>
      </c>
      <c r="D263" s="168" t="s">
        <v>770</v>
      </c>
      <c r="E263" s="168" t="s">
        <v>770</v>
      </c>
      <c r="F263" s="169">
        <v>44497</v>
      </c>
      <c r="G263" s="122" t="s">
        <v>770</v>
      </c>
      <c r="H263" s="170">
        <v>15.96</v>
      </c>
      <c r="I263" s="168" t="s">
        <v>1063</v>
      </c>
      <c r="J263" s="125" t="s">
        <v>770</v>
      </c>
    </row>
    <row r="264" spans="2:10" ht="12" x14ac:dyDescent="0.15">
      <c r="B264" s="121">
        <v>13</v>
      </c>
      <c r="C264" s="167" t="s">
        <v>70</v>
      </c>
      <c r="D264" s="168" t="s">
        <v>770</v>
      </c>
      <c r="E264" s="168" t="s">
        <v>770</v>
      </c>
      <c r="F264" s="169">
        <v>44497</v>
      </c>
      <c r="G264" s="122" t="s">
        <v>770</v>
      </c>
      <c r="H264" s="170">
        <v>3.67</v>
      </c>
      <c r="I264" s="168" t="s">
        <v>1063</v>
      </c>
      <c r="J264" s="125" t="s">
        <v>770</v>
      </c>
    </row>
    <row r="265" spans="2:10" ht="12" x14ac:dyDescent="0.15">
      <c r="B265" s="121">
        <v>13</v>
      </c>
      <c r="C265" s="167" t="s">
        <v>70</v>
      </c>
      <c r="D265" s="168" t="s">
        <v>770</v>
      </c>
      <c r="E265" s="168" t="s">
        <v>770</v>
      </c>
      <c r="F265" s="169">
        <v>44497</v>
      </c>
      <c r="G265" s="122" t="s">
        <v>770</v>
      </c>
      <c r="H265" s="170">
        <v>79949712</v>
      </c>
      <c r="I265" s="168" t="s">
        <v>1063</v>
      </c>
      <c r="J265" s="125" t="s">
        <v>770</v>
      </c>
    </row>
    <row r="266" spans="2:10" ht="12" x14ac:dyDescent="0.15">
      <c r="B266" s="121">
        <v>13</v>
      </c>
      <c r="C266" s="167" t="s">
        <v>70</v>
      </c>
      <c r="D266" s="168" t="s">
        <v>770</v>
      </c>
      <c r="E266" s="168" t="s">
        <v>770</v>
      </c>
      <c r="F266" s="169">
        <v>44497</v>
      </c>
      <c r="G266" s="122" t="s">
        <v>770</v>
      </c>
      <c r="H266" s="170">
        <v>31034086</v>
      </c>
      <c r="I266" s="168" t="s">
        <v>1063</v>
      </c>
      <c r="J266" s="125" t="s">
        <v>770</v>
      </c>
    </row>
    <row r="267" spans="2:10" ht="12" x14ac:dyDescent="0.15">
      <c r="B267" s="121">
        <v>13</v>
      </c>
      <c r="C267" s="167" t="s">
        <v>70</v>
      </c>
      <c r="D267" s="168" t="s">
        <v>770</v>
      </c>
      <c r="E267" s="168" t="s">
        <v>770</v>
      </c>
      <c r="F267" s="169">
        <v>44518</v>
      </c>
      <c r="G267" s="122" t="s">
        <v>770</v>
      </c>
      <c r="H267" s="170">
        <v>-471</v>
      </c>
      <c r="I267" s="168" t="s">
        <v>1063</v>
      </c>
      <c r="J267" s="125" t="s">
        <v>770</v>
      </c>
    </row>
    <row r="268" spans="2:10" ht="12" x14ac:dyDescent="0.15">
      <c r="B268" s="121">
        <v>13</v>
      </c>
      <c r="C268" s="167" t="s">
        <v>70</v>
      </c>
      <c r="D268" s="168" t="s">
        <v>770</v>
      </c>
      <c r="E268" s="168" t="s">
        <v>770</v>
      </c>
      <c r="F268" s="169">
        <v>44518</v>
      </c>
      <c r="G268" s="122" t="s">
        <v>770</v>
      </c>
      <c r="H268" s="170">
        <v>-284</v>
      </c>
      <c r="I268" s="168" t="s">
        <v>1063</v>
      </c>
      <c r="J268" s="125" t="s">
        <v>770</v>
      </c>
    </row>
    <row r="269" spans="2:10" ht="12" x14ac:dyDescent="0.15">
      <c r="B269" s="121">
        <v>13</v>
      </c>
      <c r="C269" s="167" t="s">
        <v>70</v>
      </c>
      <c r="D269" s="168" t="s">
        <v>770</v>
      </c>
      <c r="E269" s="168" t="s">
        <v>770</v>
      </c>
      <c r="F269" s="169">
        <v>44518</v>
      </c>
      <c r="G269" s="122" t="s">
        <v>770</v>
      </c>
      <c r="H269" s="170">
        <v>-94</v>
      </c>
      <c r="I269" s="168" t="s">
        <v>1063</v>
      </c>
      <c r="J269" s="125" t="s">
        <v>770</v>
      </c>
    </row>
    <row r="270" spans="2:10" ht="12" x14ac:dyDescent="0.15">
      <c r="B270" s="121">
        <v>13</v>
      </c>
      <c r="C270" s="167" t="s">
        <v>70</v>
      </c>
      <c r="D270" s="168" t="s">
        <v>770</v>
      </c>
      <c r="E270" s="168" t="s">
        <v>770</v>
      </c>
      <c r="F270" s="169">
        <v>44518</v>
      </c>
      <c r="G270" s="122" t="s">
        <v>770</v>
      </c>
      <c r="H270" s="170">
        <v>-4434</v>
      </c>
      <c r="I270" s="168" t="s">
        <v>1063</v>
      </c>
      <c r="J270" s="125" t="s">
        <v>770</v>
      </c>
    </row>
    <row r="271" spans="2:10" ht="12" x14ac:dyDescent="0.15">
      <c r="B271" s="121">
        <v>13</v>
      </c>
      <c r="C271" s="167" t="s">
        <v>70</v>
      </c>
      <c r="D271" s="168" t="s">
        <v>770</v>
      </c>
      <c r="E271" s="168" t="s">
        <v>770</v>
      </c>
      <c r="F271" s="169">
        <v>44518</v>
      </c>
      <c r="G271" s="122" t="s">
        <v>770</v>
      </c>
      <c r="H271" s="170">
        <v>-5849</v>
      </c>
      <c r="I271" s="168" t="s">
        <v>1063</v>
      </c>
      <c r="J271" s="125" t="s">
        <v>770</v>
      </c>
    </row>
    <row r="272" spans="2:10" ht="12" x14ac:dyDescent="0.15">
      <c r="B272" s="121">
        <v>13</v>
      </c>
      <c r="C272" s="167" t="s">
        <v>70</v>
      </c>
      <c r="D272" s="168" t="s">
        <v>1064</v>
      </c>
      <c r="E272" s="168" t="s">
        <v>770</v>
      </c>
      <c r="F272" s="169">
        <v>44529</v>
      </c>
      <c r="G272" s="122" t="s">
        <v>770</v>
      </c>
      <c r="H272" s="170">
        <v>840548968</v>
      </c>
      <c r="I272" s="168" t="s">
        <v>1063</v>
      </c>
      <c r="J272" s="125" t="s">
        <v>770</v>
      </c>
    </row>
    <row r="273" spans="2:10" ht="12" x14ac:dyDescent="0.15">
      <c r="B273" s="121">
        <v>13</v>
      </c>
      <c r="C273" s="167" t="s">
        <v>70</v>
      </c>
      <c r="D273" s="168" t="s">
        <v>770</v>
      </c>
      <c r="E273" s="168" t="s">
        <v>770</v>
      </c>
      <c r="F273" s="169">
        <v>44550</v>
      </c>
      <c r="G273" s="122" t="s">
        <v>770</v>
      </c>
      <c r="H273" s="170">
        <v>1380000</v>
      </c>
      <c r="I273" s="168" t="s">
        <v>1063</v>
      </c>
      <c r="J273" s="125" t="s">
        <v>770</v>
      </c>
    </row>
    <row r="274" spans="2:10" ht="12" x14ac:dyDescent="0.15">
      <c r="B274" s="121">
        <v>13</v>
      </c>
      <c r="C274" s="167" t="s">
        <v>70</v>
      </c>
      <c r="D274" s="168" t="s">
        <v>770</v>
      </c>
      <c r="E274" s="168" t="s">
        <v>770</v>
      </c>
      <c r="F274" s="169">
        <v>44550</v>
      </c>
      <c r="G274" s="122" t="s">
        <v>770</v>
      </c>
      <c r="H274" s="170">
        <v>1380000</v>
      </c>
      <c r="I274" s="168" t="s">
        <v>1063</v>
      </c>
      <c r="J274" s="125" t="s">
        <v>770</v>
      </c>
    </row>
    <row r="275" spans="2:10" ht="12" x14ac:dyDescent="0.15">
      <c r="B275" s="121">
        <v>13</v>
      </c>
      <c r="C275" s="167" t="s">
        <v>70</v>
      </c>
      <c r="D275" s="168" t="s">
        <v>770</v>
      </c>
      <c r="E275" s="168" t="s">
        <v>770</v>
      </c>
      <c r="F275" s="169">
        <v>44550</v>
      </c>
      <c r="G275" s="122" t="s">
        <v>770</v>
      </c>
      <c r="H275" s="170">
        <v>1750000</v>
      </c>
      <c r="I275" s="168" t="s">
        <v>1063</v>
      </c>
      <c r="J275" s="125" t="s">
        <v>770</v>
      </c>
    </row>
    <row r="276" spans="2:10" ht="12" x14ac:dyDescent="0.15">
      <c r="B276" s="121">
        <v>13</v>
      </c>
      <c r="C276" s="167" t="s">
        <v>70</v>
      </c>
      <c r="D276" s="168" t="s">
        <v>770</v>
      </c>
      <c r="E276" s="168" t="s">
        <v>770</v>
      </c>
      <c r="F276" s="169">
        <v>44550</v>
      </c>
      <c r="G276" s="122" t="s">
        <v>770</v>
      </c>
      <c r="H276" s="170">
        <v>375000</v>
      </c>
      <c r="I276" s="168" t="s">
        <v>1063</v>
      </c>
      <c r="J276" s="125" t="s">
        <v>770</v>
      </c>
    </row>
    <row r="277" spans="2:10" ht="12" x14ac:dyDescent="0.15">
      <c r="B277" s="121">
        <v>13</v>
      </c>
      <c r="C277" s="167" t="s">
        <v>70</v>
      </c>
      <c r="D277" s="168" t="s">
        <v>770</v>
      </c>
      <c r="E277" s="168" t="s">
        <v>770</v>
      </c>
      <c r="F277" s="169">
        <v>44550</v>
      </c>
      <c r="G277" s="122" t="s">
        <v>770</v>
      </c>
      <c r="H277" s="170">
        <v>875000</v>
      </c>
      <c r="I277" s="168" t="s">
        <v>1063</v>
      </c>
      <c r="J277" s="125" t="s">
        <v>770</v>
      </c>
    </row>
    <row r="278" spans="2:10" ht="12" x14ac:dyDescent="0.15">
      <c r="B278" s="121">
        <v>13</v>
      </c>
      <c r="C278" s="167" t="s">
        <v>70</v>
      </c>
      <c r="D278" s="168" t="s">
        <v>770</v>
      </c>
      <c r="E278" s="168" t="s">
        <v>770</v>
      </c>
      <c r="F278" s="169">
        <v>44550</v>
      </c>
      <c r="G278" s="122" t="s">
        <v>770</v>
      </c>
      <c r="H278" s="170">
        <v>3250000</v>
      </c>
      <c r="I278" s="168" t="s">
        <v>1063</v>
      </c>
      <c r="J278" s="125" t="s">
        <v>770</v>
      </c>
    </row>
    <row r="279" spans="2:10" ht="12" x14ac:dyDescent="0.15">
      <c r="B279" s="121">
        <v>13</v>
      </c>
      <c r="C279" s="167" t="s">
        <v>70</v>
      </c>
      <c r="D279" s="168" t="s">
        <v>770</v>
      </c>
      <c r="E279" s="168" t="s">
        <v>770</v>
      </c>
      <c r="F279" s="169">
        <v>44550</v>
      </c>
      <c r="G279" s="122" t="s">
        <v>770</v>
      </c>
      <c r="H279" s="170">
        <v>25875000</v>
      </c>
      <c r="I279" s="168" t="s">
        <v>1063</v>
      </c>
      <c r="J279" s="125" t="s">
        <v>770</v>
      </c>
    </row>
    <row r="280" spans="2:10" ht="12" x14ac:dyDescent="0.15">
      <c r="B280" s="121">
        <v>13</v>
      </c>
      <c r="C280" s="167" t="s">
        <v>70</v>
      </c>
      <c r="D280" s="168" t="s">
        <v>770</v>
      </c>
      <c r="E280" s="168" t="s">
        <v>770</v>
      </c>
      <c r="F280" s="169">
        <v>44550</v>
      </c>
      <c r="G280" s="122" t="s">
        <v>770</v>
      </c>
      <c r="H280" s="170">
        <v>875000</v>
      </c>
      <c r="I280" s="168" t="s">
        <v>1063</v>
      </c>
      <c r="J280" s="125" t="s">
        <v>770</v>
      </c>
    </row>
    <row r="281" spans="2:10" ht="12" x14ac:dyDescent="0.15">
      <c r="B281" s="121">
        <v>13</v>
      </c>
      <c r="C281" s="167" t="s">
        <v>70</v>
      </c>
      <c r="D281" s="168" t="s">
        <v>770</v>
      </c>
      <c r="E281" s="168" t="s">
        <v>770</v>
      </c>
      <c r="F281" s="169">
        <v>44550</v>
      </c>
      <c r="G281" s="122" t="s">
        <v>770</v>
      </c>
      <c r="H281" s="170">
        <v>625000</v>
      </c>
      <c r="I281" s="168" t="s">
        <v>1063</v>
      </c>
      <c r="J281" s="125" t="s">
        <v>770</v>
      </c>
    </row>
    <row r="282" spans="2:10" ht="12" x14ac:dyDescent="0.15">
      <c r="B282" s="121">
        <v>13</v>
      </c>
      <c r="C282" s="167" t="s">
        <v>70</v>
      </c>
      <c r="D282" s="168" t="s">
        <v>770</v>
      </c>
      <c r="E282" s="168" t="s">
        <v>770</v>
      </c>
      <c r="F282" s="169">
        <v>44550</v>
      </c>
      <c r="G282" s="122" t="s">
        <v>770</v>
      </c>
      <c r="H282" s="170">
        <v>2500000</v>
      </c>
      <c r="I282" s="168" t="s">
        <v>1063</v>
      </c>
      <c r="J282" s="125" t="s">
        <v>770</v>
      </c>
    </row>
    <row r="283" spans="2:10" ht="12" x14ac:dyDescent="0.15">
      <c r="B283" s="121">
        <v>13</v>
      </c>
      <c r="C283" s="167" t="s">
        <v>70</v>
      </c>
      <c r="D283" s="168" t="s">
        <v>770</v>
      </c>
      <c r="E283" s="168" t="s">
        <v>770</v>
      </c>
      <c r="F283" s="169">
        <v>44550</v>
      </c>
      <c r="G283" s="122" t="s">
        <v>770</v>
      </c>
      <c r="H283" s="170">
        <v>500000</v>
      </c>
      <c r="I283" s="168" t="s">
        <v>1063</v>
      </c>
      <c r="J283" s="125" t="s">
        <v>770</v>
      </c>
    </row>
    <row r="284" spans="2:10" ht="12" x14ac:dyDescent="0.15">
      <c r="B284" s="121">
        <v>13</v>
      </c>
      <c r="C284" s="167" t="s">
        <v>70</v>
      </c>
      <c r="D284" s="168" t="s">
        <v>770</v>
      </c>
      <c r="E284" s="168" t="s">
        <v>770</v>
      </c>
      <c r="F284" s="169">
        <v>44550</v>
      </c>
      <c r="G284" s="122" t="s">
        <v>770</v>
      </c>
      <c r="H284" s="170">
        <v>500000</v>
      </c>
      <c r="I284" s="168" t="s">
        <v>1063</v>
      </c>
      <c r="J284" s="125" t="s">
        <v>770</v>
      </c>
    </row>
    <row r="285" spans="2:10" ht="12" x14ac:dyDescent="0.15">
      <c r="B285" s="121">
        <v>13</v>
      </c>
      <c r="C285" s="167" t="s">
        <v>70</v>
      </c>
      <c r="D285" s="168" t="s">
        <v>770</v>
      </c>
      <c r="E285" s="168" t="s">
        <v>770</v>
      </c>
      <c r="F285" s="169">
        <v>44550</v>
      </c>
      <c r="G285" s="122" t="s">
        <v>770</v>
      </c>
      <c r="H285" s="170">
        <v>236250</v>
      </c>
      <c r="I285" s="168" t="s">
        <v>1063</v>
      </c>
      <c r="J285" s="125" t="s">
        <v>770</v>
      </c>
    </row>
    <row r="286" spans="2:10" ht="12" x14ac:dyDescent="0.15">
      <c r="B286" s="121">
        <v>13</v>
      </c>
      <c r="C286" s="167" t="s">
        <v>70</v>
      </c>
      <c r="D286" s="168" t="s">
        <v>770</v>
      </c>
      <c r="E286" s="168" t="s">
        <v>770</v>
      </c>
      <c r="F286" s="169">
        <v>44550</v>
      </c>
      <c r="G286" s="122" t="s">
        <v>770</v>
      </c>
      <c r="H286" s="170">
        <v>625000</v>
      </c>
      <c r="I286" s="168" t="s">
        <v>1063</v>
      </c>
      <c r="J286" s="125" t="s">
        <v>770</v>
      </c>
    </row>
    <row r="287" spans="2:10" ht="12" x14ac:dyDescent="0.15">
      <c r="B287" s="121">
        <v>13</v>
      </c>
      <c r="C287" s="167" t="s">
        <v>70</v>
      </c>
      <c r="D287" s="168" t="s">
        <v>1065</v>
      </c>
      <c r="E287" s="168" t="s">
        <v>770</v>
      </c>
      <c r="F287" s="169">
        <v>44560</v>
      </c>
      <c r="G287" s="122" t="s">
        <v>770</v>
      </c>
      <c r="H287" s="170">
        <v>298271565</v>
      </c>
      <c r="I287" s="168" t="s">
        <v>1063</v>
      </c>
      <c r="J287" s="125" t="s">
        <v>770</v>
      </c>
    </row>
    <row r="288" spans="2:10" ht="12" x14ac:dyDescent="0.15">
      <c r="B288" s="121">
        <v>13</v>
      </c>
      <c r="C288" s="167" t="s">
        <v>70</v>
      </c>
      <c r="D288" s="168" t="s">
        <v>770</v>
      </c>
      <c r="E288" s="168" t="s">
        <v>770</v>
      </c>
      <c r="F288" s="169">
        <v>44561</v>
      </c>
      <c r="G288" s="122" t="s">
        <v>770</v>
      </c>
      <c r="H288" s="170">
        <v>-79949712</v>
      </c>
      <c r="I288" s="168" t="s">
        <v>1063</v>
      </c>
      <c r="J288" s="125" t="s">
        <v>770</v>
      </c>
    </row>
    <row r="289" spans="2:10" ht="12" x14ac:dyDescent="0.15">
      <c r="B289" s="121">
        <v>13</v>
      </c>
      <c r="C289" s="167" t="s">
        <v>70</v>
      </c>
      <c r="D289" s="168" t="s">
        <v>770</v>
      </c>
      <c r="E289" s="168" t="s">
        <v>770</v>
      </c>
      <c r="F289" s="169">
        <v>44561</v>
      </c>
      <c r="G289" s="122" t="s">
        <v>770</v>
      </c>
      <c r="H289" s="170">
        <v>-31034086</v>
      </c>
      <c r="I289" s="168" t="s">
        <v>1063</v>
      </c>
      <c r="J289" s="125" t="s">
        <v>770</v>
      </c>
    </row>
    <row r="290" spans="2:10" ht="12" x14ac:dyDescent="0.15">
      <c r="B290" s="121">
        <v>13</v>
      </c>
      <c r="C290" s="167" t="s">
        <v>70</v>
      </c>
      <c r="D290" s="168" t="s">
        <v>770</v>
      </c>
      <c r="E290" s="168" t="s">
        <v>770</v>
      </c>
      <c r="F290" s="169">
        <v>44561</v>
      </c>
      <c r="G290" s="122" t="s">
        <v>770</v>
      </c>
      <c r="H290" s="170">
        <v>25096</v>
      </c>
      <c r="I290" s="168" t="s">
        <v>1063</v>
      </c>
      <c r="J290" s="125" t="s">
        <v>770</v>
      </c>
    </row>
    <row r="291" spans="2:10" ht="12" x14ac:dyDescent="0.15">
      <c r="B291" s="121">
        <v>13</v>
      </c>
      <c r="C291" s="167" t="s">
        <v>70</v>
      </c>
      <c r="D291" s="168" t="s">
        <v>770</v>
      </c>
      <c r="E291" s="168" t="s">
        <v>770</v>
      </c>
      <c r="F291" s="169">
        <v>44561</v>
      </c>
      <c r="G291" s="122" t="s">
        <v>770</v>
      </c>
      <c r="H291" s="170">
        <v>6801</v>
      </c>
      <c r="I291" s="168" t="s">
        <v>1063</v>
      </c>
      <c r="J291" s="125" t="s">
        <v>770</v>
      </c>
    </row>
    <row r="292" spans="2:10" ht="12" x14ac:dyDescent="0.15">
      <c r="B292" s="121">
        <v>13</v>
      </c>
      <c r="C292" s="167" t="s">
        <v>70</v>
      </c>
      <c r="D292" s="168" t="s">
        <v>770</v>
      </c>
      <c r="E292" s="168" t="s">
        <v>770</v>
      </c>
      <c r="F292" s="169">
        <v>44561</v>
      </c>
      <c r="G292" s="122" t="s">
        <v>770</v>
      </c>
      <c r="H292" s="170">
        <v>383</v>
      </c>
      <c r="I292" s="168" t="s">
        <v>1063</v>
      </c>
      <c r="J292" s="125" t="s">
        <v>770</v>
      </c>
    </row>
    <row r="293" spans="2:10" ht="12" x14ac:dyDescent="0.15">
      <c r="B293" s="121">
        <v>13</v>
      </c>
      <c r="C293" s="167" t="s">
        <v>70</v>
      </c>
      <c r="D293" s="168" t="s">
        <v>770</v>
      </c>
      <c r="E293" s="168" t="s">
        <v>770</v>
      </c>
      <c r="F293" s="169">
        <v>44561</v>
      </c>
      <c r="G293" s="122" t="s">
        <v>770</v>
      </c>
      <c r="H293" s="170">
        <v>192</v>
      </c>
      <c r="I293" s="168" t="s">
        <v>1063</v>
      </c>
      <c r="J293" s="125" t="s">
        <v>770</v>
      </c>
    </row>
    <row r="294" spans="2:10" ht="12" x14ac:dyDescent="0.15">
      <c r="B294" s="121">
        <v>13</v>
      </c>
      <c r="C294" s="167" t="s">
        <v>70</v>
      </c>
      <c r="D294" s="168" t="s">
        <v>770</v>
      </c>
      <c r="E294" s="168" t="s">
        <v>770</v>
      </c>
      <c r="F294" s="169">
        <v>44561</v>
      </c>
      <c r="G294" s="122" t="s">
        <v>770</v>
      </c>
      <c r="H294" s="170">
        <v>862</v>
      </c>
      <c r="I294" s="168" t="s">
        <v>1063</v>
      </c>
      <c r="J294" s="125" t="s">
        <v>770</v>
      </c>
    </row>
    <row r="295" spans="2:10" ht="12" x14ac:dyDescent="0.15">
      <c r="B295" s="121">
        <v>13</v>
      </c>
      <c r="C295" s="167" t="s">
        <v>70</v>
      </c>
      <c r="D295" s="168" t="s">
        <v>770</v>
      </c>
      <c r="E295" s="168" t="s">
        <v>770</v>
      </c>
      <c r="F295" s="169">
        <v>44561</v>
      </c>
      <c r="G295" s="122" t="s">
        <v>770</v>
      </c>
      <c r="H295" s="170">
        <v>575</v>
      </c>
      <c r="I295" s="168" t="s">
        <v>1063</v>
      </c>
      <c r="J295" s="125" t="s">
        <v>770</v>
      </c>
    </row>
    <row r="296" spans="2:10" ht="12" x14ac:dyDescent="0.15">
      <c r="B296" s="121">
        <v>13</v>
      </c>
      <c r="C296" s="167" t="s">
        <v>70</v>
      </c>
      <c r="D296" s="168" t="s">
        <v>770</v>
      </c>
      <c r="E296" s="168" t="s">
        <v>770</v>
      </c>
      <c r="F296" s="169">
        <v>44561</v>
      </c>
      <c r="G296" s="122" t="s">
        <v>770</v>
      </c>
      <c r="H296" s="170">
        <v>192</v>
      </c>
      <c r="I296" s="168" t="s">
        <v>1063</v>
      </c>
      <c r="J296" s="125" t="s">
        <v>770</v>
      </c>
    </row>
    <row r="297" spans="2:10" ht="12" x14ac:dyDescent="0.15">
      <c r="B297" s="121">
        <v>13</v>
      </c>
      <c r="C297" s="167" t="s">
        <v>70</v>
      </c>
      <c r="D297" s="168" t="s">
        <v>770</v>
      </c>
      <c r="E297" s="168" t="s">
        <v>770</v>
      </c>
      <c r="F297" s="169">
        <v>44561</v>
      </c>
      <c r="G297" s="122" t="s">
        <v>770</v>
      </c>
      <c r="H297" s="170">
        <v>2298</v>
      </c>
      <c r="I297" s="168" t="s">
        <v>1063</v>
      </c>
      <c r="J297" s="125" t="s">
        <v>770</v>
      </c>
    </row>
    <row r="298" spans="2:10" ht="12" x14ac:dyDescent="0.15">
      <c r="B298" s="121">
        <v>13</v>
      </c>
      <c r="C298" s="167" t="s">
        <v>70</v>
      </c>
      <c r="D298" s="168" t="s">
        <v>770</v>
      </c>
      <c r="E298" s="168" t="s">
        <v>770</v>
      </c>
      <c r="F298" s="169">
        <v>44561</v>
      </c>
      <c r="G298" s="122" t="s">
        <v>770</v>
      </c>
      <c r="H298" s="170">
        <v>288</v>
      </c>
      <c r="I298" s="168" t="s">
        <v>1063</v>
      </c>
      <c r="J298" s="125" t="s">
        <v>770</v>
      </c>
    </row>
    <row r="299" spans="2:10" ht="12" x14ac:dyDescent="0.15">
      <c r="B299" s="121">
        <v>13</v>
      </c>
      <c r="C299" s="167" t="s">
        <v>70</v>
      </c>
      <c r="D299" s="168" t="s">
        <v>770</v>
      </c>
      <c r="E299" s="168" t="s">
        <v>770</v>
      </c>
      <c r="F299" s="169">
        <v>44561</v>
      </c>
      <c r="G299" s="122" t="s">
        <v>770</v>
      </c>
      <c r="H299" s="170">
        <v>-140037</v>
      </c>
      <c r="I299" s="168" t="s">
        <v>1063</v>
      </c>
      <c r="J299" s="125" t="s">
        <v>770</v>
      </c>
    </row>
    <row r="300" spans="2:10" ht="12" x14ac:dyDescent="0.15">
      <c r="B300" s="121">
        <v>13</v>
      </c>
      <c r="C300" s="167" t="s">
        <v>70</v>
      </c>
      <c r="D300" s="168" t="s">
        <v>770</v>
      </c>
      <c r="E300" s="168" t="s">
        <v>770</v>
      </c>
      <c r="F300" s="169">
        <v>44561</v>
      </c>
      <c r="G300" s="122" t="s">
        <v>770</v>
      </c>
      <c r="H300" s="170">
        <v>-70018</v>
      </c>
      <c r="I300" s="168" t="s">
        <v>1063</v>
      </c>
      <c r="J300" s="125" t="s">
        <v>770</v>
      </c>
    </row>
    <row r="301" spans="2:10" ht="12" x14ac:dyDescent="0.15">
      <c r="B301" s="121">
        <v>13</v>
      </c>
      <c r="C301" s="167" t="s">
        <v>70</v>
      </c>
      <c r="D301" s="168" t="s">
        <v>770</v>
      </c>
      <c r="E301" s="168" t="s">
        <v>770</v>
      </c>
      <c r="F301" s="169">
        <v>44561</v>
      </c>
      <c r="G301" s="122" t="s">
        <v>770</v>
      </c>
      <c r="H301" s="170">
        <v>-19104</v>
      </c>
      <c r="I301" s="168" t="s">
        <v>1063</v>
      </c>
      <c r="J301" s="125" t="s">
        <v>770</v>
      </c>
    </row>
    <row r="302" spans="2:10" ht="12" x14ac:dyDescent="0.15">
      <c r="B302" s="121">
        <v>13</v>
      </c>
      <c r="C302" s="167" t="s">
        <v>70</v>
      </c>
      <c r="D302" s="168" t="s">
        <v>770</v>
      </c>
      <c r="E302" s="168" t="s">
        <v>770</v>
      </c>
      <c r="F302" s="169">
        <v>44561</v>
      </c>
      <c r="G302" s="122" t="s">
        <v>770</v>
      </c>
      <c r="H302" s="170">
        <v>-1097</v>
      </c>
      <c r="I302" s="168" t="s">
        <v>1063</v>
      </c>
      <c r="J302" s="125" t="s">
        <v>770</v>
      </c>
    </row>
    <row r="303" spans="2:10" ht="12" x14ac:dyDescent="0.15">
      <c r="B303" s="121">
        <v>13</v>
      </c>
      <c r="C303" s="167" t="s">
        <v>70</v>
      </c>
      <c r="D303" s="168" t="s">
        <v>770</v>
      </c>
      <c r="E303" s="168" t="s">
        <v>770</v>
      </c>
      <c r="F303" s="169">
        <v>44561</v>
      </c>
      <c r="G303" s="122" t="s">
        <v>770</v>
      </c>
      <c r="H303" s="170">
        <v>-640</v>
      </c>
      <c r="I303" s="168" t="s">
        <v>1063</v>
      </c>
      <c r="J303" s="125" t="s">
        <v>770</v>
      </c>
    </row>
    <row r="304" spans="2:10" ht="12" x14ac:dyDescent="0.15">
      <c r="B304" s="121">
        <v>13</v>
      </c>
      <c r="C304" s="167" t="s">
        <v>70</v>
      </c>
      <c r="D304" s="168" t="s">
        <v>770</v>
      </c>
      <c r="E304" s="168" t="s">
        <v>770</v>
      </c>
      <c r="F304" s="169">
        <v>44561</v>
      </c>
      <c r="G304" s="122" t="s">
        <v>770</v>
      </c>
      <c r="H304" s="170">
        <v>-2377</v>
      </c>
      <c r="I304" s="168" t="s">
        <v>1063</v>
      </c>
      <c r="J304" s="125" t="s">
        <v>770</v>
      </c>
    </row>
    <row r="305" spans="2:10" ht="12" x14ac:dyDescent="0.15">
      <c r="B305" s="121">
        <v>13</v>
      </c>
      <c r="C305" s="167" t="s">
        <v>70</v>
      </c>
      <c r="D305" s="168" t="s">
        <v>770</v>
      </c>
      <c r="E305" s="168" t="s">
        <v>770</v>
      </c>
      <c r="F305" s="169">
        <v>44561</v>
      </c>
      <c r="G305" s="122" t="s">
        <v>770</v>
      </c>
      <c r="H305" s="170">
        <v>-1463</v>
      </c>
      <c r="I305" s="168" t="s">
        <v>1063</v>
      </c>
      <c r="J305" s="125" t="s">
        <v>770</v>
      </c>
    </row>
    <row r="306" spans="2:10" ht="12" x14ac:dyDescent="0.15">
      <c r="B306" s="121">
        <v>13</v>
      </c>
      <c r="C306" s="167" t="s">
        <v>70</v>
      </c>
      <c r="D306" s="168" t="s">
        <v>770</v>
      </c>
      <c r="E306" s="168" t="s">
        <v>770</v>
      </c>
      <c r="F306" s="169">
        <v>44561</v>
      </c>
      <c r="G306" s="122" t="s">
        <v>770</v>
      </c>
      <c r="H306" s="170">
        <v>-457</v>
      </c>
      <c r="I306" s="168" t="s">
        <v>1063</v>
      </c>
      <c r="J306" s="125" t="s">
        <v>770</v>
      </c>
    </row>
    <row r="307" spans="2:10" ht="12" x14ac:dyDescent="0.15">
      <c r="B307" s="121">
        <v>13</v>
      </c>
      <c r="C307" s="167" t="s">
        <v>70</v>
      </c>
      <c r="D307" s="168" t="s">
        <v>770</v>
      </c>
      <c r="E307" s="168" t="s">
        <v>770</v>
      </c>
      <c r="F307" s="169">
        <v>44561</v>
      </c>
      <c r="G307" s="122" t="s">
        <v>770</v>
      </c>
      <c r="H307" s="170">
        <v>-92</v>
      </c>
      <c r="I307" s="168" t="s">
        <v>1063</v>
      </c>
      <c r="J307" s="125" t="s">
        <v>770</v>
      </c>
    </row>
    <row r="308" spans="2:10" ht="12" x14ac:dyDescent="0.15">
      <c r="B308" s="121">
        <v>13</v>
      </c>
      <c r="C308" s="167" t="s">
        <v>70</v>
      </c>
      <c r="D308" s="168" t="s">
        <v>770</v>
      </c>
      <c r="E308" s="168" t="s">
        <v>770</v>
      </c>
      <c r="F308" s="169">
        <v>44561</v>
      </c>
      <c r="G308" s="122" t="s">
        <v>770</v>
      </c>
      <c r="H308" s="170">
        <v>-6490</v>
      </c>
      <c r="I308" s="168" t="s">
        <v>1063</v>
      </c>
      <c r="J308" s="125" t="s">
        <v>770</v>
      </c>
    </row>
    <row r="309" spans="2:10" ht="12" x14ac:dyDescent="0.15">
      <c r="B309" s="121">
        <v>13</v>
      </c>
      <c r="C309" s="167" t="s">
        <v>70</v>
      </c>
      <c r="D309" s="168" t="s">
        <v>770</v>
      </c>
      <c r="E309" s="168" t="s">
        <v>770</v>
      </c>
      <c r="F309" s="169">
        <v>44561</v>
      </c>
      <c r="G309" s="122" t="s">
        <v>770</v>
      </c>
      <c r="H309" s="170">
        <v>-914</v>
      </c>
      <c r="I309" s="168" t="s">
        <v>1063</v>
      </c>
      <c r="J309" s="125" t="s">
        <v>770</v>
      </c>
    </row>
    <row r="310" spans="2:10" ht="12" x14ac:dyDescent="0.15">
      <c r="B310" s="121">
        <v>13</v>
      </c>
      <c r="C310" s="167" t="s">
        <v>70</v>
      </c>
      <c r="D310" s="168" t="s">
        <v>770</v>
      </c>
      <c r="E310" s="168" t="s">
        <v>770</v>
      </c>
      <c r="F310" s="169">
        <v>44561</v>
      </c>
      <c r="G310" s="122" t="s">
        <v>770</v>
      </c>
      <c r="H310" s="170">
        <v>2134838</v>
      </c>
      <c r="I310" s="168" t="s">
        <v>1063</v>
      </c>
      <c r="J310" s="125" t="s">
        <v>770</v>
      </c>
    </row>
    <row r="311" spans="2:10" ht="12" x14ac:dyDescent="0.15">
      <c r="B311" s="121">
        <v>13</v>
      </c>
      <c r="C311" s="167" t="s">
        <v>70</v>
      </c>
      <c r="D311" s="168" t="s">
        <v>1066</v>
      </c>
      <c r="E311" s="168" t="s">
        <v>770</v>
      </c>
      <c r="F311" s="169">
        <v>44201</v>
      </c>
      <c r="G311" s="122" t="s">
        <v>770</v>
      </c>
      <c r="H311" s="170">
        <v>12506940</v>
      </c>
      <c r="I311" s="168" t="s">
        <v>1063</v>
      </c>
      <c r="J311" s="125" t="s">
        <v>770</v>
      </c>
    </row>
    <row r="312" spans="2:10" ht="12" x14ac:dyDescent="0.15">
      <c r="B312" s="121">
        <v>13</v>
      </c>
      <c r="C312" s="167" t="s">
        <v>70</v>
      </c>
      <c r="D312" s="168" t="s">
        <v>1067</v>
      </c>
      <c r="E312" s="168" t="s">
        <v>770</v>
      </c>
      <c r="F312" s="169">
        <v>44201</v>
      </c>
      <c r="G312" s="122" t="s">
        <v>770</v>
      </c>
      <c r="H312" s="170">
        <v>30126780</v>
      </c>
      <c r="I312" s="168" t="s">
        <v>1063</v>
      </c>
      <c r="J312" s="125" t="s">
        <v>770</v>
      </c>
    </row>
    <row r="313" spans="2:10" ht="12" x14ac:dyDescent="0.15">
      <c r="B313" s="121">
        <v>13</v>
      </c>
      <c r="C313" s="167" t="s">
        <v>70</v>
      </c>
      <c r="D313" s="168" t="s">
        <v>1068</v>
      </c>
      <c r="E313" s="168" t="s">
        <v>770</v>
      </c>
      <c r="F313" s="169">
        <v>44201</v>
      </c>
      <c r="G313" s="122" t="s">
        <v>770</v>
      </c>
      <c r="H313" s="170">
        <v>13168995</v>
      </c>
      <c r="I313" s="168" t="s">
        <v>1063</v>
      </c>
      <c r="J313" s="125" t="s">
        <v>770</v>
      </c>
    </row>
    <row r="314" spans="2:10" ht="12" x14ac:dyDescent="0.15">
      <c r="B314" s="121">
        <v>13</v>
      </c>
      <c r="C314" s="167" t="s">
        <v>70</v>
      </c>
      <c r="D314" s="168" t="s">
        <v>1069</v>
      </c>
      <c r="E314" s="168" t="s">
        <v>770</v>
      </c>
      <c r="F314" s="169">
        <v>44201</v>
      </c>
      <c r="G314" s="122" t="s">
        <v>770</v>
      </c>
      <c r="H314" s="170">
        <v>2464680</v>
      </c>
      <c r="I314" s="168" t="s">
        <v>1063</v>
      </c>
      <c r="J314" s="125" t="s">
        <v>770</v>
      </c>
    </row>
    <row r="315" spans="2:10" ht="12" x14ac:dyDescent="0.15">
      <c r="B315" s="121">
        <v>13</v>
      </c>
      <c r="C315" s="167" t="s">
        <v>70</v>
      </c>
      <c r="D315" s="168" t="s">
        <v>1070</v>
      </c>
      <c r="E315" s="168" t="s">
        <v>770</v>
      </c>
      <c r="F315" s="169">
        <v>44217</v>
      </c>
      <c r="G315" s="122" t="s">
        <v>770</v>
      </c>
      <c r="H315" s="170">
        <v>159505050</v>
      </c>
      <c r="I315" s="168" t="s">
        <v>1063</v>
      </c>
      <c r="J315" s="125" t="s">
        <v>770</v>
      </c>
    </row>
    <row r="316" spans="2:10" ht="12" x14ac:dyDescent="0.15">
      <c r="B316" s="121">
        <v>13</v>
      </c>
      <c r="C316" s="167" t="s">
        <v>70</v>
      </c>
      <c r="D316" s="168" t="s">
        <v>1071</v>
      </c>
      <c r="E316" s="168" t="s">
        <v>770</v>
      </c>
      <c r="F316" s="169">
        <v>44314</v>
      </c>
      <c r="G316" s="122" t="s">
        <v>770</v>
      </c>
      <c r="H316" s="170">
        <v>253044367</v>
      </c>
      <c r="I316" s="168" t="s">
        <v>1063</v>
      </c>
      <c r="J316" s="125" t="s">
        <v>770</v>
      </c>
    </row>
    <row r="317" spans="2:10" ht="12" x14ac:dyDescent="0.15">
      <c r="B317" s="121">
        <v>13</v>
      </c>
      <c r="C317" s="167" t="s">
        <v>70</v>
      </c>
      <c r="D317" s="168" t="s">
        <v>1072</v>
      </c>
      <c r="E317" s="168" t="s">
        <v>770</v>
      </c>
      <c r="F317" s="169">
        <v>44528</v>
      </c>
      <c r="G317" s="122" t="s">
        <v>770</v>
      </c>
      <c r="H317" s="170">
        <v>-14417302</v>
      </c>
      <c r="I317" s="168" t="s">
        <v>1063</v>
      </c>
      <c r="J317" s="125" t="s">
        <v>770</v>
      </c>
    </row>
    <row r="318" spans="2:10" ht="12" x14ac:dyDescent="0.15">
      <c r="B318" s="121">
        <v>13</v>
      </c>
      <c r="C318" s="167" t="s">
        <v>70</v>
      </c>
      <c r="D318" s="168" t="s">
        <v>1073</v>
      </c>
      <c r="E318" s="168" t="s">
        <v>770</v>
      </c>
      <c r="F318" s="169">
        <v>44204</v>
      </c>
      <c r="G318" s="122" t="s">
        <v>770</v>
      </c>
      <c r="H318" s="170">
        <v>104662800</v>
      </c>
      <c r="I318" s="168" t="s">
        <v>1063</v>
      </c>
      <c r="J318" s="125" t="s">
        <v>770</v>
      </c>
    </row>
    <row r="319" spans="2:10" ht="12" x14ac:dyDescent="0.15">
      <c r="B319" s="121">
        <v>13</v>
      </c>
      <c r="C319" s="167" t="s">
        <v>70</v>
      </c>
      <c r="D319" s="168" t="s">
        <v>1073</v>
      </c>
      <c r="E319" s="168" t="s">
        <v>770</v>
      </c>
      <c r="F319" s="169">
        <v>44204</v>
      </c>
      <c r="G319" s="122" t="s">
        <v>770</v>
      </c>
      <c r="H319" s="170">
        <v>121500000</v>
      </c>
      <c r="I319" s="168" t="s">
        <v>1063</v>
      </c>
      <c r="J319" s="125" t="s">
        <v>770</v>
      </c>
    </row>
    <row r="320" spans="2:10" ht="12" x14ac:dyDescent="0.15">
      <c r="B320" s="121">
        <v>13</v>
      </c>
      <c r="C320" s="167" t="s">
        <v>70</v>
      </c>
      <c r="D320" s="168" t="s">
        <v>1073</v>
      </c>
      <c r="E320" s="168" t="s">
        <v>770</v>
      </c>
      <c r="F320" s="169">
        <v>44204</v>
      </c>
      <c r="G320" s="122" t="s">
        <v>770</v>
      </c>
      <c r="H320" s="170">
        <v>54000000</v>
      </c>
      <c r="I320" s="168" t="s">
        <v>1063</v>
      </c>
      <c r="J320" s="125" t="s">
        <v>770</v>
      </c>
    </row>
    <row r="321" spans="2:10" ht="12" x14ac:dyDescent="0.15">
      <c r="B321" s="121">
        <v>13</v>
      </c>
      <c r="C321" s="167" t="s">
        <v>70</v>
      </c>
      <c r="D321" s="168" t="s">
        <v>1074</v>
      </c>
      <c r="E321" s="168" t="s">
        <v>770</v>
      </c>
      <c r="F321" s="169">
        <v>44201</v>
      </c>
      <c r="G321" s="122" t="s">
        <v>770</v>
      </c>
      <c r="H321" s="170">
        <v>880000</v>
      </c>
      <c r="I321" s="168" t="s">
        <v>1063</v>
      </c>
      <c r="J321" s="125" t="s">
        <v>770</v>
      </c>
    </row>
    <row r="322" spans="2:10" ht="12" x14ac:dyDescent="0.15">
      <c r="B322" s="121">
        <v>13</v>
      </c>
      <c r="C322" s="167" t="s">
        <v>70</v>
      </c>
      <c r="D322" s="168" t="s">
        <v>1075</v>
      </c>
      <c r="E322" s="168" t="s">
        <v>770</v>
      </c>
      <c r="F322" s="169">
        <v>44201</v>
      </c>
      <c r="G322" s="122" t="s">
        <v>770</v>
      </c>
      <c r="H322" s="170">
        <v>782000</v>
      </c>
      <c r="I322" s="168" t="s">
        <v>1063</v>
      </c>
      <c r="J322" s="125" t="s">
        <v>770</v>
      </c>
    </row>
    <row r="323" spans="2:10" ht="12" x14ac:dyDescent="0.15">
      <c r="B323" s="121">
        <v>13</v>
      </c>
      <c r="C323" s="167" t="s">
        <v>70</v>
      </c>
      <c r="D323" s="168" t="s">
        <v>1076</v>
      </c>
      <c r="E323" s="168" t="s">
        <v>770</v>
      </c>
      <c r="F323" s="169">
        <v>44201</v>
      </c>
      <c r="G323" s="122" t="s">
        <v>770</v>
      </c>
      <c r="H323" s="170">
        <v>782000</v>
      </c>
      <c r="I323" s="168" t="s">
        <v>1063</v>
      </c>
      <c r="J323" s="125" t="s">
        <v>770</v>
      </c>
    </row>
    <row r="324" spans="2:10" ht="12" x14ac:dyDescent="0.15">
      <c r="B324" s="121">
        <v>13</v>
      </c>
      <c r="C324" s="167" t="s">
        <v>70</v>
      </c>
      <c r="D324" s="168" t="s">
        <v>1077</v>
      </c>
      <c r="E324" s="168" t="s">
        <v>770</v>
      </c>
      <c r="F324" s="169">
        <v>44201</v>
      </c>
      <c r="G324" s="122" t="s">
        <v>770</v>
      </c>
      <c r="H324" s="170">
        <v>782000</v>
      </c>
      <c r="I324" s="168" t="s">
        <v>1063</v>
      </c>
      <c r="J324" s="125" t="s">
        <v>770</v>
      </c>
    </row>
    <row r="325" spans="2:10" ht="12" x14ac:dyDescent="0.15">
      <c r="B325" s="121">
        <v>13</v>
      </c>
      <c r="C325" s="167" t="s">
        <v>70</v>
      </c>
      <c r="D325" s="168" t="s">
        <v>1078</v>
      </c>
      <c r="E325" s="168" t="s">
        <v>770</v>
      </c>
      <c r="F325" s="169">
        <v>44201</v>
      </c>
      <c r="G325" s="122" t="s">
        <v>770</v>
      </c>
      <c r="H325" s="170">
        <v>500000</v>
      </c>
      <c r="I325" s="168" t="s">
        <v>1063</v>
      </c>
      <c r="J325" s="125" t="s">
        <v>770</v>
      </c>
    </row>
    <row r="326" spans="2:10" ht="12" x14ac:dyDescent="0.15">
      <c r="B326" s="121">
        <v>13</v>
      </c>
      <c r="C326" s="167" t="s">
        <v>70</v>
      </c>
      <c r="D326" s="168" t="s">
        <v>1079</v>
      </c>
      <c r="E326" s="168" t="s">
        <v>770</v>
      </c>
      <c r="F326" s="169">
        <v>44225</v>
      </c>
      <c r="G326" s="122" t="s">
        <v>770</v>
      </c>
      <c r="H326" s="170">
        <v>-255767348</v>
      </c>
      <c r="I326" s="168" t="s">
        <v>1063</v>
      </c>
      <c r="J326" s="125" t="s">
        <v>770</v>
      </c>
    </row>
    <row r="327" spans="2:10" ht="12" x14ac:dyDescent="0.15">
      <c r="B327" s="121">
        <v>13</v>
      </c>
      <c r="C327" s="167" t="s">
        <v>70</v>
      </c>
      <c r="D327" s="168" t="s">
        <v>1080</v>
      </c>
      <c r="E327" s="168" t="s">
        <v>770</v>
      </c>
      <c r="F327" s="169">
        <v>44225</v>
      </c>
      <c r="G327" s="122" t="s">
        <v>770</v>
      </c>
      <c r="H327" s="170">
        <v>-478318039</v>
      </c>
      <c r="I327" s="168" t="s">
        <v>1063</v>
      </c>
      <c r="J327" s="125" t="s">
        <v>770</v>
      </c>
    </row>
    <row r="328" spans="2:10" ht="12" x14ac:dyDescent="0.15">
      <c r="B328" s="121">
        <v>13</v>
      </c>
      <c r="C328" s="167" t="s">
        <v>70</v>
      </c>
      <c r="D328" s="168" t="s">
        <v>1081</v>
      </c>
      <c r="E328" s="168" t="s">
        <v>770</v>
      </c>
      <c r="F328" s="169">
        <v>44224</v>
      </c>
      <c r="G328" s="122" t="s">
        <v>770</v>
      </c>
      <c r="H328" s="170">
        <v>-159505050</v>
      </c>
      <c r="I328" s="168" t="s">
        <v>1063</v>
      </c>
      <c r="J328" s="125" t="s">
        <v>770</v>
      </c>
    </row>
    <row r="329" spans="2:10" ht="12" x14ac:dyDescent="0.15">
      <c r="B329" s="121">
        <v>13</v>
      </c>
      <c r="C329" s="167" t="s">
        <v>70</v>
      </c>
      <c r="D329" s="168" t="s">
        <v>1082</v>
      </c>
      <c r="E329" s="168" t="s">
        <v>770</v>
      </c>
      <c r="F329" s="169">
        <v>44224</v>
      </c>
      <c r="G329" s="122" t="s">
        <v>770</v>
      </c>
      <c r="H329" s="170">
        <v>-104662800</v>
      </c>
      <c r="I329" s="168" t="s">
        <v>1063</v>
      </c>
      <c r="J329" s="125" t="s">
        <v>770</v>
      </c>
    </row>
    <row r="330" spans="2:10" ht="12" x14ac:dyDescent="0.15">
      <c r="B330" s="121">
        <v>13</v>
      </c>
      <c r="C330" s="167" t="s">
        <v>70</v>
      </c>
      <c r="D330" s="168" t="s">
        <v>1083</v>
      </c>
      <c r="E330" s="168" t="s">
        <v>770</v>
      </c>
      <c r="F330" s="169">
        <v>44224</v>
      </c>
      <c r="G330" s="122" t="s">
        <v>770</v>
      </c>
      <c r="H330" s="170">
        <v>-121500000</v>
      </c>
      <c r="I330" s="168" t="s">
        <v>1063</v>
      </c>
      <c r="J330" s="125" t="s">
        <v>770</v>
      </c>
    </row>
    <row r="331" spans="2:10" ht="12" x14ac:dyDescent="0.15">
      <c r="B331" s="121">
        <v>13</v>
      </c>
      <c r="C331" s="167" t="s">
        <v>70</v>
      </c>
      <c r="D331" s="168" t="s">
        <v>1084</v>
      </c>
      <c r="E331" s="168" t="s">
        <v>770</v>
      </c>
      <c r="F331" s="169">
        <v>44224</v>
      </c>
      <c r="G331" s="122" t="s">
        <v>770</v>
      </c>
      <c r="H331" s="170">
        <v>-54000000</v>
      </c>
      <c r="I331" s="168" t="s">
        <v>1063</v>
      </c>
      <c r="J331" s="125" t="s">
        <v>770</v>
      </c>
    </row>
    <row r="332" spans="2:10" ht="12" x14ac:dyDescent="0.15">
      <c r="B332" s="121">
        <v>13</v>
      </c>
      <c r="C332" s="167" t="s">
        <v>70</v>
      </c>
      <c r="D332" s="168" t="s">
        <v>1085</v>
      </c>
      <c r="E332" s="168" t="s">
        <v>770</v>
      </c>
      <c r="F332" s="169">
        <v>44226</v>
      </c>
      <c r="G332" s="122" t="s">
        <v>770</v>
      </c>
      <c r="H332" s="170">
        <v>187628175</v>
      </c>
      <c r="I332" s="168" t="s">
        <v>1063</v>
      </c>
      <c r="J332" s="125" t="s">
        <v>770</v>
      </c>
    </row>
    <row r="333" spans="2:10" ht="12" x14ac:dyDescent="0.15">
      <c r="B333" s="121">
        <v>13</v>
      </c>
      <c r="C333" s="167" t="s">
        <v>70</v>
      </c>
      <c r="D333" s="168" t="s">
        <v>1086</v>
      </c>
      <c r="E333" s="168" t="s">
        <v>770</v>
      </c>
      <c r="F333" s="169">
        <v>44229</v>
      </c>
      <c r="G333" s="122" t="s">
        <v>770</v>
      </c>
      <c r="H333" s="170">
        <v>70075618</v>
      </c>
      <c r="I333" s="168" t="s">
        <v>1063</v>
      </c>
      <c r="J333" s="125" t="s">
        <v>770</v>
      </c>
    </row>
    <row r="334" spans="2:10" ht="12" x14ac:dyDescent="0.15">
      <c r="B334" s="121">
        <v>13</v>
      </c>
      <c r="C334" s="167" t="s">
        <v>70</v>
      </c>
      <c r="D334" s="168" t="s">
        <v>1087</v>
      </c>
      <c r="E334" s="168" t="s">
        <v>770</v>
      </c>
      <c r="F334" s="169">
        <v>44229</v>
      </c>
      <c r="G334" s="122" t="s">
        <v>770</v>
      </c>
      <c r="H334" s="170">
        <v>255767348</v>
      </c>
      <c r="I334" s="168" t="s">
        <v>1063</v>
      </c>
      <c r="J334" s="125" t="s">
        <v>770</v>
      </c>
    </row>
    <row r="335" spans="2:10" ht="12" x14ac:dyDescent="0.15">
      <c r="B335" s="121">
        <v>13</v>
      </c>
      <c r="C335" s="167" t="s">
        <v>70</v>
      </c>
      <c r="D335" s="168" t="s">
        <v>1086</v>
      </c>
      <c r="E335" s="168" t="s">
        <v>770</v>
      </c>
      <c r="F335" s="169">
        <v>44231</v>
      </c>
      <c r="G335" s="122" t="s">
        <v>770</v>
      </c>
      <c r="H335" s="170">
        <v>187628175</v>
      </c>
      <c r="I335" s="168" t="s">
        <v>1063</v>
      </c>
      <c r="J335" s="125" t="s">
        <v>770</v>
      </c>
    </row>
    <row r="336" spans="2:10" ht="12" x14ac:dyDescent="0.15">
      <c r="B336" s="121">
        <v>13</v>
      </c>
      <c r="C336" s="167" t="s">
        <v>70</v>
      </c>
      <c r="D336" s="168" t="s">
        <v>1086</v>
      </c>
      <c r="E336" s="168" t="s">
        <v>770</v>
      </c>
      <c r="F336" s="169">
        <v>44253</v>
      </c>
      <c r="G336" s="122" t="s">
        <v>770</v>
      </c>
      <c r="H336" s="170">
        <v>343984988</v>
      </c>
      <c r="I336" s="168" t="s">
        <v>1063</v>
      </c>
      <c r="J336" s="125" t="s">
        <v>770</v>
      </c>
    </row>
    <row r="337" spans="2:10" ht="12" x14ac:dyDescent="0.15">
      <c r="B337" s="121">
        <v>13</v>
      </c>
      <c r="C337" s="167" t="s">
        <v>70</v>
      </c>
      <c r="D337" s="168" t="s">
        <v>1088</v>
      </c>
      <c r="E337" s="168" t="s">
        <v>770</v>
      </c>
      <c r="F337" s="169">
        <v>44251</v>
      </c>
      <c r="G337" s="122" t="s">
        <v>770</v>
      </c>
      <c r="H337" s="170">
        <v>-187628175</v>
      </c>
      <c r="I337" s="168" t="s">
        <v>1063</v>
      </c>
      <c r="J337" s="125" t="s">
        <v>770</v>
      </c>
    </row>
    <row r="338" spans="2:10" ht="12" x14ac:dyDescent="0.15">
      <c r="B338" s="121">
        <v>13</v>
      </c>
      <c r="C338" s="167" t="s">
        <v>70</v>
      </c>
      <c r="D338" s="168" t="s">
        <v>1089</v>
      </c>
      <c r="E338" s="168" t="s">
        <v>770</v>
      </c>
      <c r="F338" s="169">
        <v>44255</v>
      </c>
      <c r="G338" s="122" t="s">
        <v>770</v>
      </c>
      <c r="H338" s="170">
        <v>478318039</v>
      </c>
      <c r="I338" s="168" t="s">
        <v>1063</v>
      </c>
      <c r="J338" s="125" t="s">
        <v>770</v>
      </c>
    </row>
    <row r="339" spans="2:10" ht="12" x14ac:dyDescent="0.15">
      <c r="B339" s="121">
        <v>13</v>
      </c>
      <c r="C339" s="167" t="s">
        <v>70</v>
      </c>
      <c r="D339" s="168" t="s">
        <v>1090</v>
      </c>
      <c r="E339" s="168" t="s">
        <v>770</v>
      </c>
      <c r="F339" s="169">
        <v>44255</v>
      </c>
      <c r="G339" s="122" t="s">
        <v>770</v>
      </c>
      <c r="H339" s="170">
        <v>343984988</v>
      </c>
      <c r="I339" s="168" t="s">
        <v>1063</v>
      </c>
      <c r="J339" s="125" t="s">
        <v>770</v>
      </c>
    </row>
    <row r="340" spans="2:10" ht="12" x14ac:dyDescent="0.15">
      <c r="B340" s="121">
        <v>13</v>
      </c>
      <c r="C340" s="167" t="s">
        <v>70</v>
      </c>
      <c r="D340" s="168" t="s">
        <v>1091</v>
      </c>
      <c r="E340" s="168" t="s">
        <v>770</v>
      </c>
      <c r="F340" s="169">
        <v>44255</v>
      </c>
      <c r="G340" s="122" t="s">
        <v>770</v>
      </c>
      <c r="H340" s="170">
        <v>293561246</v>
      </c>
      <c r="I340" s="168" t="s">
        <v>1063</v>
      </c>
      <c r="J340" s="125" t="s">
        <v>770</v>
      </c>
    </row>
    <row r="341" spans="2:10" ht="12" x14ac:dyDescent="0.15">
      <c r="B341" s="121">
        <v>13</v>
      </c>
      <c r="C341" s="167" t="s">
        <v>70</v>
      </c>
      <c r="D341" s="168" t="s">
        <v>1092</v>
      </c>
      <c r="E341" s="168" t="s">
        <v>770</v>
      </c>
      <c r="F341" s="169">
        <v>44255</v>
      </c>
      <c r="G341" s="122" t="s">
        <v>770</v>
      </c>
      <c r="H341" s="170">
        <v>853612240</v>
      </c>
      <c r="I341" s="168" t="s">
        <v>1063</v>
      </c>
      <c r="J341" s="125" t="s">
        <v>770</v>
      </c>
    </row>
    <row r="342" spans="2:10" ht="12" x14ac:dyDescent="0.15">
      <c r="B342" s="121">
        <v>13</v>
      </c>
      <c r="C342" s="167" t="s">
        <v>70</v>
      </c>
      <c r="D342" s="168" t="s">
        <v>1093</v>
      </c>
      <c r="E342" s="168" t="s">
        <v>770</v>
      </c>
      <c r="F342" s="169">
        <v>44255</v>
      </c>
      <c r="G342" s="122" t="s">
        <v>770</v>
      </c>
      <c r="H342" s="170">
        <v>94750835</v>
      </c>
      <c r="I342" s="168" t="s">
        <v>1063</v>
      </c>
      <c r="J342" s="125" t="s">
        <v>770</v>
      </c>
    </row>
    <row r="343" spans="2:10" ht="12" x14ac:dyDescent="0.15">
      <c r="B343" s="121">
        <v>13</v>
      </c>
      <c r="C343" s="167" t="s">
        <v>70</v>
      </c>
      <c r="D343" s="168" t="s">
        <v>1094</v>
      </c>
      <c r="E343" s="168" t="s">
        <v>770</v>
      </c>
      <c r="F343" s="169">
        <v>44255</v>
      </c>
      <c r="G343" s="122" t="s">
        <v>770</v>
      </c>
      <c r="H343" s="170">
        <v>198440102</v>
      </c>
      <c r="I343" s="168" t="s">
        <v>1063</v>
      </c>
      <c r="J343" s="125" t="s">
        <v>770</v>
      </c>
    </row>
    <row r="344" spans="2:10" ht="12" x14ac:dyDescent="0.15">
      <c r="B344" s="121">
        <v>13</v>
      </c>
      <c r="C344" s="167" t="s">
        <v>70</v>
      </c>
      <c r="D344" s="168" t="s">
        <v>1095</v>
      </c>
      <c r="E344" s="168" t="s">
        <v>770</v>
      </c>
      <c r="F344" s="169">
        <v>44255</v>
      </c>
      <c r="G344" s="122" t="s">
        <v>770</v>
      </c>
      <c r="H344" s="170">
        <v>234162667</v>
      </c>
      <c r="I344" s="168" t="s">
        <v>1063</v>
      </c>
      <c r="J344" s="125" t="s">
        <v>770</v>
      </c>
    </row>
    <row r="345" spans="2:10" ht="12" x14ac:dyDescent="0.15">
      <c r="B345" s="121">
        <v>13</v>
      </c>
      <c r="C345" s="167" t="s">
        <v>70</v>
      </c>
      <c r="D345" s="168" t="s">
        <v>1096</v>
      </c>
      <c r="E345" s="168" t="s">
        <v>770</v>
      </c>
      <c r="F345" s="169">
        <v>44266</v>
      </c>
      <c r="G345" s="122" t="s">
        <v>770</v>
      </c>
      <c r="H345" s="170">
        <v>234162667</v>
      </c>
      <c r="I345" s="168" t="s">
        <v>1063</v>
      </c>
      <c r="J345" s="125" t="s">
        <v>770</v>
      </c>
    </row>
    <row r="346" spans="2:10" ht="12" x14ac:dyDescent="0.15">
      <c r="B346" s="121">
        <v>13</v>
      </c>
      <c r="C346" s="167" t="s">
        <v>70</v>
      </c>
      <c r="D346" s="168" t="s">
        <v>1086</v>
      </c>
      <c r="E346" s="168" t="s">
        <v>770</v>
      </c>
      <c r="F346" s="169">
        <v>44270</v>
      </c>
      <c r="G346" s="122" t="s">
        <v>770</v>
      </c>
      <c r="H346" s="170">
        <v>478318039</v>
      </c>
      <c r="I346" s="168" t="s">
        <v>1063</v>
      </c>
      <c r="J346" s="125" t="s">
        <v>770</v>
      </c>
    </row>
    <row r="347" spans="2:10" ht="12" x14ac:dyDescent="0.15">
      <c r="B347" s="121">
        <v>13</v>
      </c>
      <c r="C347" s="167" t="s">
        <v>70</v>
      </c>
      <c r="D347" s="168" t="s">
        <v>1097</v>
      </c>
      <c r="E347" s="168" t="s">
        <v>770</v>
      </c>
      <c r="F347" s="169">
        <v>44272</v>
      </c>
      <c r="G347" s="122" t="s">
        <v>770</v>
      </c>
      <c r="H347" s="170">
        <v>293561246</v>
      </c>
      <c r="I347" s="168" t="s">
        <v>1063</v>
      </c>
      <c r="J347" s="125" t="s">
        <v>770</v>
      </c>
    </row>
    <row r="348" spans="2:10" ht="12" x14ac:dyDescent="0.15">
      <c r="B348" s="121">
        <v>13</v>
      </c>
      <c r="C348" s="167" t="s">
        <v>70</v>
      </c>
      <c r="D348" s="168" t="s">
        <v>1098</v>
      </c>
      <c r="E348" s="168" t="s">
        <v>770</v>
      </c>
      <c r="F348" s="169">
        <v>44272</v>
      </c>
      <c r="G348" s="122" t="s">
        <v>770</v>
      </c>
      <c r="H348" s="170">
        <v>198440102</v>
      </c>
      <c r="I348" s="168" t="s">
        <v>1063</v>
      </c>
      <c r="J348" s="125" t="s">
        <v>770</v>
      </c>
    </row>
    <row r="349" spans="2:10" ht="12" x14ac:dyDescent="0.15">
      <c r="B349" s="121">
        <v>13</v>
      </c>
      <c r="C349" s="167" t="s">
        <v>70</v>
      </c>
      <c r="D349" s="168" t="s">
        <v>1099</v>
      </c>
      <c r="E349" s="168" t="s">
        <v>770</v>
      </c>
      <c r="F349" s="169">
        <v>44272</v>
      </c>
      <c r="G349" s="122" t="s">
        <v>770</v>
      </c>
      <c r="H349" s="170">
        <v>853612240</v>
      </c>
      <c r="I349" s="168" t="s">
        <v>1063</v>
      </c>
      <c r="J349" s="125" t="s">
        <v>770</v>
      </c>
    </row>
    <row r="350" spans="2:10" ht="12" x14ac:dyDescent="0.15">
      <c r="B350" s="121">
        <v>13</v>
      </c>
      <c r="C350" s="167" t="s">
        <v>70</v>
      </c>
      <c r="D350" s="168" t="s">
        <v>1100</v>
      </c>
      <c r="E350" s="168" t="s">
        <v>770</v>
      </c>
      <c r="F350" s="169">
        <v>44279</v>
      </c>
      <c r="G350" s="122" t="s">
        <v>770</v>
      </c>
      <c r="H350" s="170">
        <v>285334740</v>
      </c>
      <c r="I350" s="168" t="s">
        <v>1063</v>
      </c>
      <c r="J350" s="125" t="s">
        <v>770</v>
      </c>
    </row>
    <row r="351" spans="2:10" ht="12" x14ac:dyDescent="0.15">
      <c r="B351" s="121">
        <v>13</v>
      </c>
      <c r="C351" s="167" t="s">
        <v>70</v>
      </c>
      <c r="D351" s="168" t="s">
        <v>1101</v>
      </c>
      <c r="E351" s="168" t="s">
        <v>770</v>
      </c>
      <c r="F351" s="169">
        <v>44280</v>
      </c>
      <c r="G351" s="122" t="s">
        <v>770</v>
      </c>
      <c r="H351" s="170">
        <v>94750835</v>
      </c>
      <c r="I351" s="168" t="s">
        <v>1063</v>
      </c>
      <c r="J351" s="125" t="s">
        <v>770</v>
      </c>
    </row>
    <row r="352" spans="2:10" ht="12" x14ac:dyDescent="0.15">
      <c r="B352" s="121">
        <v>13</v>
      </c>
      <c r="C352" s="167" t="s">
        <v>70</v>
      </c>
      <c r="D352" s="168" t="s">
        <v>1102</v>
      </c>
      <c r="E352" s="168" t="s">
        <v>770</v>
      </c>
      <c r="F352" s="169">
        <v>44280</v>
      </c>
      <c r="G352" s="122" t="s">
        <v>770</v>
      </c>
      <c r="H352" s="170">
        <v>-478318039</v>
      </c>
      <c r="I352" s="168" t="s">
        <v>1063</v>
      </c>
      <c r="J352" s="125" t="s">
        <v>770</v>
      </c>
    </row>
    <row r="353" spans="2:10" ht="12" x14ac:dyDescent="0.15">
      <c r="B353" s="121">
        <v>13</v>
      </c>
      <c r="C353" s="167" t="s">
        <v>70</v>
      </c>
      <c r="D353" s="168" t="s">
        <v>1103</v>
      </c>
      <c r="E353" s="168" t="s">
        <v>770</v>
      </c>
      <c r="F353" s="169">
        <v>44280</v>
      </c>
      <c r="G353" s="122" t="s">
        <v>770</v>
      </c>
      <c r="H353" s="170">
        <v>-343984988</v>
      </c>
      <c r="I353" s="168" t="s">
        <v>1063</v>
      </c>
      <c r="J353" s="125" t="s">
        <v>770</v>
      </c>
    </row>
    <row r="354" spans="2:10" ht="12" x14ac:dyDescent="0.15">
      <c r="B354" s="121">
        <v>13</v>
      </c>
      <c r="C354" s="167" t="s">
        <v>70</v>
      </c>
      <c r="D354" s="168" t="s">
        <v>1104</v>
      </c>
      <c r="E354" s="168" t="s">
        <v>770</v>
      </c>
      <c r="F354" s="169">
        <v>44280</v>
      </c>
      <c r="G354" s="122" t="s">
        <v>770</v>
      </c>
      <c r="H354" s="170">
        <v>-293561246</v>
      </c>
      <c r="I354" s="168" t="s">
        <v>1063</v>
      </c>
      <c r="J354" s="125" t="s">
        <v>770</v>
      </c>
    </row>
    <row r="355" spans="2:10" ht="12" x14ac:dyDescent="0.15">
      <c r="B355" s="121">
        <v>13</v>
      </c>
      <c r="C355" s="167" t="s">
        <v>70</v>
      </c>
      <c r="D355" s="168" t="s">
        <v>1105</v>
      </c>
      <c r="E355" s="168" t="s">
        <v>770</v>
      </c>
      <c r="F355" s="169">
        <v>44280</v>
      </c>
      <c r="G355" s="122" t="s">
        <v>770</v>
      </c>
      <c r="H355" s="170">
        <v>-853612240</v>
      </c>
      <c r="I355" s="168" t="s">
        <v>1063</v>
      </c>
      <c r="J355" s="125" t="s">
        <v>770</v>
      </c>
    </row>
    <row r="356" spans="2:10" ht="12" x14ac:dyDescent="0.15">
      <c r="B356" s="121">
        <v>13</v>
      </c>
      <c r="C356" s="167" t="s">
        <v>70</v>
      </c>
      <c r="D356" s="168" t="s">
        <v>1106</v>
      </c>
      <c r="E356" s="168" t="s">
        <v>770</v>
      </c>
      <c r="F356" s="169">
        <v>44280</v>
      </c>
      <c r="G356" s="122" t="s">
        <v>770</v>
      </c>
      <c r="H356" s="170">
        <v>-198440102</v>
      </c>
      <c r="I356" s="168" t="s">
        <v>1063</v>
      </c>
      <c r="J356" s="125" t="s">
        <v>770</v>
      </c>
    </row>
    <row r="357" spans="2:10" ht="12" x14ac:dyDescent="0.15">
      <c r="B357" s="121">
        <v>13</v>
      </c>
      <c r="C357" s="167" t="s">
        <v>70</v>
      </c>
      <c r="D357" s="168" t="s">
        <v>1107</v>
      </c>
      <c r="E357" s="168" t="s">
        <v>770</v>
      </c>
      <c r="F357" s="169">
        <v>44280</v>
      </c>
      <c r="G357" s="122" t="s">
        <v>770</v>
      </c>
      <c r="H357" s="170">
        <v>-234162667</v>
      </c>
      <c r="I357" s="168" t="s">
        <v>1063</v>
      </c>
      <c r="J357" s="125" t="s">
        <v>770</v>
      </c>
    </row>
    <row r="358" spans="2:10" ht="12" x14ac:dyDescent="0.15">
      <c r="B358" s="121">
        <v>13</v>
      </c>
      <c r="C358" s="167" t="s">
        <v>70</v>
      </c>
      <c r="D358" s="168" t="s">
        <v>1108</v>
      </c>
      <c r="E358" s="168" t="s">
        <v>770</v>
      </c>
      <c r="F358" s="169">
        <v>44301</v>
      </c>
      <c r="G358" s="122" t="s">
        <v>770</v>
      </c>
      <c r="H358" s="170">
        <v>158467496</v>
      </c>
      <c r="I358" s="168" t="s">
        <v>1063</v>
      </c>
      <c r="J358" s="125" t="s">
        <v>770</v>
      </c>
    </row>
    <row r="359" spans="2:10" ht="12" x14ac:dyDescent="0.15">
      <c r="B359" s="121">
        <v>13</v>
      </c>
      <c r="C359" s="167" t="s">
        <v>70</v>
      </c>
      <c r="D359" s="168" t="s">
        <v>1109</v>
      </c>
      <c r="E359" s="168" t="s">
        <v>770</v>
      </c>
      <c r="F359" s="169">
        <v>44308</v>
      </c>
      <c r="G359" s="122" t="s">
        <v>770</v>
      </c>
      <c r="H359" s="170">
        <v>-187628175</v>
      </c>
      <c r="I359" s="168" t="s">
        <v>1063</v>
      </c>
      <c r="J359" s="125" t="s">
        <v>770</v>
      </c>
    </row>
    <row r="360" spans="2:10" ht="12" x14ac:dyDescent="0.15">
      <c r="B360" s="121">
        <v>13</v>
      </c>
      <c r="C360" s="167" t="s">
        <v>70</v>
      </c>
      <c r="D360" s="168" t="s">
        <v>1110</v>
      </c>
      <c r="E360" s="168" t="s">
        <v>770</v>
      </c>
      <c r="F360" s="169">
        <v>44308</v>
      </c>
      <c r="G360" s="122" t="s">
        <v>770</v>
      </c>
      <c r="H360" s="170">
        <v>-94750835</v>
      </c>
      <c r="I360" s="168" t="s">
        <v>1063</v>
      </c>
      <c r="J360" s="125" t="s">
        <v>770</v>
      </c>
    </row>
    <row r="361" spans="2:10" ht="12" x14ac:dyDescent="0.15">
      <c r="B361" s="121">
        <v>13</v>
      </c>
      <c r="C361" s="167" t="s">
        <v>70</v>
      </c>
      <c r="D361" s="168" t="s">
        <v>1111</v>
      </c>
      <c r="E361" s="168" t="s">
        <v>770</v>
      </c>
      <c r="F361" s="169">
        <v>44322</v>
      </c>
      <c r="G361" s="122" t="s">
        <v>770</v>
      </c>
      <c r="H361" s="170">
        <v>63407720</v>
      </c>
      <c r="I361" s="168" t="s">
        <v>1063</v>
      </c>
      <c r="J361" s="125" t="s">
        <v>770</v>
      </c>
    </row>
    <row r="362" spans="2:10" ht="12" x14ac:dyDescent="0.15">
      <c r="B362" s="121">
        <v>13</v>
      </c>
      <c r="C362" s="167" t="s">
        <v>70</v>
      </c>
      <c r="D362" s="168" t="s">
        <v>1086</v>
      </c>
      <c r="E362" s="168" t="s">
        <v>770</v>
      </c>
      <c r="F362" s="169">
        <v>44322</v>
      </c>
      <c r="G362" s="122" t="s">
        <v>770</v>
      </c>
      <c r="H362" s="170">
        <v>199889125</v>
      </c>
      <c r="I362" s="168" t="s">
        <v>1063</v>
      </c>
      <c r="J362" s="125" t="s">
        <v>770</v>
      </c>
    </row>
    <row r="363" spans="2:10" ht="12" x14ac:dyDescent="0.15">
      <c r="B363" s="121">
        <v>13</v>
      </c>
      <c r="C363" s="167" t="s">
        <v>70</v>
      </c>
      <c r="D363" s="168" t="s">
        <v>1086</v>
      </c>
      <c r="E363" s="168" t="s">
        <v>770</v>
      </c>
      <c r="F363" s="169">
        <v>44344</v>
      </c>
      <c r="G363" s="122" t="s">
        <v>770</v>
      </c>
      <c r="H363" s="170">
        <v>159439346</v>
      </c>
      <c r="I363" s="168" t="s">
        <v>1063</v>
      </c>
      <c r="J363" s="125" t="s">
        <v>770</v>
      </c>
    </row>
    <row r="364" spans="2:10" ht="12" x14ac:dyDescent="0.15">
      <c r="B364" s="121">
        <v>13</v>
      </c>
      <c r="C364" s="167" t="s">
        <v>70</v>
      </c>
      <c r="D364" s="168" t="s">
        <v>770</v>
      </c>
      <c r="E364" s="168" t="s">
        <v>770</v>
      </c>
      <c r="F364" s="169">
        <v>44354</v>
      </c>
      <c r="G364" s="122" t="s">
        <v>770</v>
      </c>
      <c r="H364" s="170">
        <v>2640000</v>
      </c>
      <c r="I364" s="168" t="s">
        <v>1063</v>
      </c>
      <c r="J364" s="125" t="s">
        <v>770</v>
      </c>
    </row>
    <row r="365" spans="2:10" ht="12" x14ac:dyDescent="0.15">
      <c r="B365" s="121">
        <v>13</v>
      </c>
      <c r="C365" s="167" t="s">
        <v>70</v>
      </c>
      <c r="D365" s="168" t="s">
        <v>770</v>
      </c>
      <c r="E365" s="168" t="s">
        <v>770</v>
      </c>
      <c r="F365" s="169">
        <v>44354</v>
      </c>
      <c r="G365" s="122" t="s">
        <v>770</v>
      </c>
      <c r="H365" s="170">
        <v>3900000</v>
      </c>
      <c r="I365" s="168" t="s">
        <v>1063</v>
      </c>
      <c r="J365" s="125" t="s">
        <v>770</v>
      </c>
    </row>
    <row r="366" spans="2:10" ht="12" x14ac:dyDescent="0.15">
      <c r="B366" s="121">
        <v>13</v>
      </c>
      <c r="C366" s="167" t="s">
        <v>70</v>
      </c>
      <c r="D366" s="168" t="s">
        <v>770</v>
      </c>
      <c r="E366" s="168" t="s">
        <v>770</v>
      </c>
      <c r="F366" s="169">
        <v>44354</v>
      </c>
      <c r="G366" s="122" t="s">
        <v>770</v>
      </c>
      <c r="H366" s="170">
        <v>18500000</v>
      </c>
      <c r="I366" s="168" t="s">
        <v>1063</v>
      </c>
      <c r="J366" s="125" t="s">
        <v>770</v>
      </c>
    </row>
    <row r="367" spans="2:10" ht="12" x14ac:dyDescent="0.15">
      <c r="B367" s="121">
        <v>13</v>
      </c>
      <c r="C367" s="167" t="s">
        <v>70</v>
      </c>
      <c r="D367" s="168" t="s">
        <v>770</v>
      </c>
      <c r="E367" s="168" t="s">
        <v>770</v>
      </c>
      <c r="F367" s="169">
        <v>44354</v>
      </c>
      <c r="G367" s="122" t="s">
        <v>770</v>
      </c>
      <c r="H367" s="170">
        <v>2600000</v>
      </c>
      <c r="I367" s="168" t="s">
        <v>1063</v>
      </c>
      <c r="J367" s="125" t="s">
        <v>770</v>
      </c>
    </row>
    <row r="368" spans="2:10" ht="12" x14ac:dyDescent="0.15">
      <c r="B368" s="121">
        <v>13</v>
      </c>
      <c r="C368" s="167" t="s">
        <v>70</v>
      </c>
      <c r="D368" s="168" t="s">
        <v>770</v>
      </c>
      <c r="E368" s="168" t="s">
        <v>770</v>
      </c>
      <c r="F368" s="169">
        <v>44354</v>
      </c>
      <c r="G368" s="122" t="s">
        <v>770</v>
      </c>
      <c r="H368" s="170">
        <v>2600000</v>
      </c>
      <c r="I368" s="168" t="s">
        <v>1063</v>
      </c>
      <c r="J368" s="125" t="s">
        <v>770</v>
      </c>
    </row>
    <row r="369" spans="2:10" ht="12" x14ac:dyDescent="0.15">
      <c r="B369" s="121">
        <v>13</v>
      </c>
      <c r="C369" s="167" t="s">
        <v>70</v>
      </c>
      <c r="D369" s="168" t="s">
        <v>770</v>
      </c>
      <c r="E369" s="168" t="s">
        <v>770</v>
      </c>
      <c r="F369" s="169">
        <v>44354</v>
      </c>
      <c r="G369" s="122" t="s">
        <v>770</v>
      </c>
      <c r="H369" s="170">
        <v>1800000</v>
      </c>
      <c r="I369" s="168" t="s">
        <v>1063</v>
      </c>
      <c r="J369" s="125" t="s">
        <v>770</v>
      </c>
    </row>
    <row r="370" spans="2:10" ht="12" x14ac:dyDescent="0.15">
      <c r="B370" s="121">
        <v>13</v>
      </c>
      <c r="C370" s="167" t="s">
        <v>70</v>
      </c>
      <c r="D370" s="168" t="s">
        <v>770</v>
      </c>
      <c r="E370" s="168" t="s">
        <v>770</v>
      </c>
      <c r="F370" s="169">
        <v>44354</v>
      </c>
      <c r="G370" s="122" t="s">
        <v>770</v>
      </c>
      <c r="H370" s="170">
        <v>66000000</v>
      </c>
      <c r="I370" s="168" t="s">
        <v>1063</v>
      </c>
      <c r="J370" s="125" t="s">
        <v>770</v>
      </c>
    </row>
    <row r="371" spans="2:10" ht="12" x14ac:dyDescent="0.15">
      <c r="B371" s="121">
        <v>13</v>
      </c>
      <c r="C371" s="167" t="s">
        <v>70</v>
      </c>
      <c r="D371" s="168" t="s">
        <v>770</v>
      </c>
      <c r="E371" s="168" t="s">
        <v>770</v>
      </c>
      <c r="F371" s="169">
        <v>44354</v>
      </c>
      <c r="G371" s="122" t="s">
        <v>770</v>
      </c>
      <c r="H371" s="170">
        <v>5100000</v>
      </c>
      <c r="I371" s="168" t="s">
        <v>1063</v>
      </c>
      <c r="J371" s="125" t="s">
        <v>770</v>
      </c>
    </row>
    <row r="372" spans="2:10" ht="12" x14ac:dyDescent="0.15">
      <c r="B372" s="121">
        <v>13</v>
      </c>
      <c r="C372" s="167" t="s">
        <v>70</v>
      </c>
      <c r="D372" s="168" t="s">
        <v>770</v>
      </c>
      <c r="E372" s="168" t="s">
        <v>770</v>
      </c>
      <c r="F372" s="169">
        <v>44354</v>
      </c>
      <c r="G372" s="122" t="s">
        <v>770</v>
      </c>
      <c r="H372" s="170">
        <v>225000</v>
      </c>
      <c r="I372" s="168" t="s">
        <v>1063</v>
      </c>
      <c r="J372" s="125" t="s">
        <v>770</v>
      </c>
    </row>
    <row r="373" spans="2:10" ht="12" x14ac:dyDescent="0.15">
      <c r="B373" s="121">
        <v>13</v>
      </c>
      <c r="C373" s="167" t="s">
        <v>70</v>
      </c>
      <c r="D373" s="168" t="s">
        <v>770</v>
      </c>
      <c r="E373" s="168" t="s">
        <v>770</v>
      </c>
      <c r="F373" s="169">
        <v>44354</v>
      </c>
      <c r="G373" s="122" t="s">
        <v>770</v>
      </c>
      <c r="H373" s="170">
        <v>4000000</v>
      </c>
      <c r="I373" s="168" t="s">
        <v>1063</v>
      </c>
      <c r="J373" s="125" t="s">
        <v>770</v>
      </c>
    </row>
    <row r="374" spans="2:10" ht="12" x14ac:dyDescent="0.15">
      <c r="B374" s="121">
        <v>13</v>
      </c>
      <c r="C374" s="167" t="s">
        <v>70</v>
      </c>
      <c r="D374" s="168" t="s">
        <v>770</v>
      </c>
      <c r="E374" s="168" t="s">
        <v>770</v>
      </c>
      <c r="F374" s="169">
        <v>44354</v>
      </c>
      <c r="G374" s="122" t="s">
        <v>770</v>
      </c>
      <c r="H374" s="170">
        <v>250000</v>
      </c>
      <c r="I374" s="168" t="s">
        <v>1063</v>
      </c>
      <c r="J374" s="125" t="s">
        <v>770</v>
      </c>
    </row>
    <row r="375" spans="2:10" ht="12" x14ac:dyDescent="0.15">
      <c r="B375" s="121">
        <v>13</v>
      </c>
      <c r="C375" s="167" t="s">
        <v>70</v>
      </c>
      <c r="D375" s="168" t="s">
        <v>770</v>
      </c>
      <c r="E375" s="168" t="s">
        <v>770</v>
      </c>
      <c r="F375" s="169">
        <v>44354</v>
      </c>
      <c r="G375" s="122" t="s">
        <v>770</v>
      </c>
      <c r="H375" s="170">
        <v>1100000</v>
      </c>
      <c r="I375" s="168" t="s">
        <v>1063</v>
      </c>
      <c r="J375" s="125" t="s">
        <v>770</v>
      </c>
    </row>
    <row r="376" spans="2:10" ht="12" x14ac:dyDescent="0.15">
      <c r="B376" s="121">
        <v>13</v>
      </c>
      <c r="C376" s="167" t="s">
        <v>70</v>
      </c>
      <c r="D376" s="168" t="s">
        <v>770</v>
      </c>
      <c r="E376" s="168" t="s">
        <v>770</v>
      </c>
      <c r="F376" s="169">
        <v>44354</v>
      </c>
      <c r="G376" s="122" t="s">
        <v>770</v>
      </c>
      <c r="H376" s="170">
        <v>1200000</v>
      </c>
      <c r="I376" s="168" t="s">
        <v>1063</v>
      </c>
      <c r="J376" s="125" t="s">
        <v>770</v>
      </c>
    </row>
    <row r="377" spans="2:10" ht="12" x14ac:dyDescent="0.15">
      <c r="B377" s="121">
        <v>13</v>
      </c>
      <c r="C377" s="167" t="s">
        <v>70</v>
      </c>
      <c r="D377" s="168" t="s">
        <v>770</v>
      </c>
      <c r="E377" s="168" t="s">
        <v>770</v>
      </c>
      <c r="F377" s="169">
        <v>44354</v>
      </c>
      <c r="G377" s="122" t="s">
        <v>770</v>
      </c>
      <c r="H377" s="170">
        <v>4500000</v>
      </c>
      <c r="I377" s="168" t="s">
        <v>1063</v>
      </c>
      <c r="J377" s="125" t="s">
        <v>770</v>
      </c>
    </row>
    <row r="378" spans="2:10" ht="12" x14ac:dyDescent="0.15">
      <c r="B378" s="121">
        <v>13</v>
      </c>
      <c r="C378" s="167" t="s">
        <v>70</v>
      </c>
      <c r="D378" s="168" t="s">
        <v>770</v>
      </c>
      <c r="E378" s="168" t="s">
        <v>770</v>
      </c>
      <c r="F378" s="169">
        <v>44354</v>
      </c>
      <c r="G378" s="122" t="s">
        <v>770</v>
      </c>
      <c r="H378" s="170">
        <v>5100000</v>
      </c>
      <c r="I378" s="168" t="s">
        <v>1063</v>
      </c>
      <c r="J378" s="125" t="s">
        <v>770</v>
      </c>
    </row>
    <row r="379" spans="2:10" ht="12" x14ac:dyDescent="0.15">
      <c r="B379" s="121">
        <v>13</v>
      </c>
      <c r="C379" s="167" t="s">
        <v>70</v>
      </c>
      <c r="D379" s="168" t="s">
        <v>770</v>
      </c>
      <c r="E379" s="168" t="s">
        <v>770</v>
      </c>
      <c r="F379" s="169">
        <v>44354</v>
      </c>
      <c r="G379" s="122" t="s">
        <v>770</v>
      </c>
      <c r="H379" s="170">
        <v>320000</v>
      </c>
      <c r="I379" s="168" t="s">
        <v>1063</v>
      </c>
      <c r="J379" s="125" t="s">
        <v>770</v>
      </c>
    </row>
    <row r="380" spans="2:10" ht="12" x14ac:dyDescent="0.15">
      <c r="B380" s="121">
        <v>13</v>
      </c>
      <c r="C380" s="167" t="s">
        <v>70</v>
      </c>
      <c r="D380" s="168" t="s">
        <v>770</v>
      </c>
      <c r="E380" s="168" t="s">
        <v>770</v>
      </c>
      <c r="F380" s="169">
        <v>44354</v>
      </c>
      <c r="G380" s="122" t="s">
        <v>770</v>
      </c>
      <c r="H380" s="170">
        <v>1250000</v>
      </c>
      <c r="I380" s="168" t="s">
        <v>1063</v>
      </c>
      <c r="J380" s="125" t="s">
        <v>770</v>
      </c>
    </row>
    <row r="381" spans="2:10" ht="12" x14ac:dyDescent="0.15">
      <c r="B381" s="121">
        <v>13</v>
      </c>
      <c r="C381" s="167" t="s">
        <v>70</v>
      </c>
      <c r="D381" s="168" t="s">
        <v>770</v>
      </c>
      <c r="E381" s="168" t="s">
        <v>770</v>
      </c>
      <c r="F381" s="169">
        <v>44354</v>
      </c>
      <c r="G381" s="122" t="s">
        <v>770</v>
      </c>
      <c r="H381" s="170">
        <v>1550000</v>
      </c>
      <c r="I381" s="168" t="s">
        <v>1063</v>
      </c>
      <c r="J381" s="125" t="s">
        <v>770</v>
      </c>
    </row>
    <row r="382" spans="2:10" ht="12" x14ac:dyDescent="0.15">
      <c r="B382" s="121">
        <v>13</v>
      </c>
      <c r="C382" s="167" t="s">
        <v>70</v>
      </c>
      <c r="D382" s="168" t="s">
        <v>770</v>
      </c>
      <c r="E382" s="168" t="s">
        <v>770</v>
      </c>
      <c r="F382" s="169">
        <v>44354</v>
      </c>
      <c r="G382" s="122" t="s">
        <v>770</v>
      </c>
      <c r="H382" s="170">
        <v>7300000</v>
      </c>
      <c r="I382" s="168" t="s">
        <v>1063</v>
      </c>
      <c r="J382" s="125" t="s">
        <v>770</v>
      </c>
    </row>
    <row r="383" spans="2:10" ht="12" x14ac:dyDescent="0.15">
      <c r="B383" s="121">
        <v>13</v>
      </c>
      <c r="C383" s="167" t="s">
        <v>70</v>
      </c>
      <c r="D383" s="168" t="s">
        <v>770</v>
      </c>
      <c r="E383" s="168" t="s">
        <v>770</v>
      </c>
      <c r="F383" s="169">
        <v>44354</v>
      </c>
      <c r="G383" s="122" t="s">
        <v>770</v>
      </c>
      <c r="H383" s="170">
        <v>2400000</v>
      </c>
      <c r="I383" s="168" t="s">
        <v>1063</v>
      </c>
      <c r="J383" s="125" t="s">
        <v>770</v>
      </c>
    </row>
    <row r="384" spans="2:10" ht="12" x14ac:dyDescent="0.15">
      <c r="B384" s="121">
        <v>13</v>
      </c>
      <c r="C384" s="167" t="s">
        <v>70</v>
      </c>
      <c r="D384" s="168" t="s">
        <v>770</v>
      </c>
      <c r="E384" s="168" t="s">
        <v>770</v>
      </c>
      <c r="F384" s="169">
        <v>44354</v>
      </c>
      <c r="G384" s="122" t="s">
        <v>770</v>
      </c>
      <c r="H384" s="170">
        <v>900000</v>
      </c>
      <c r="I384" s="168" t="s">
        <v>1063</v>
      </c>
      <c r="J384" s="125" t="s">
        <v>770</v>
      </c>
    </row>
    <row r="385" spans="2:10" ht="12" x14ac:dyDescent="0.15">
      <c r="B385" s="121">
        <v>13</v>
      </c>
      <c r="C385" s="167" t="s">
        <v>70</v>
      </c>
      <c r="D385" s="168" t="s">
        <v>770</v>
      </c>
      <c r="E385" s="168" t="s">
        <v>770</v>
      </c>
      <c r="F385" s="169">
        <v>44354</v>
      </c>
      <c r="G385" s="122" t="s">
        <v>770</v>
      </c>
      <c r="H385" s="170">
        <v>900000</v>
      </c>
      <c r="I385" s="168" t="s">
        <v>1063</v>
      </c>
      <c r="J385" s="125" t="s">
        <v>770</v>
      </c>
    </row>
    <row r="386" spans="2:10" ht="12" x14ac:dyDescent="0.15">
      <c r="B386" s="121">
        <v>13</v>
      </c>
      <c r="C386" s="167" t="s">
        <v>70</v>
      </c>
      <c r="D386" s="168" t="s">
        <v>770</v>
      </c>
      <c r="E386" s="168" t="s">
        <v>770</v>
      </c>
      <c r="F386" s="169">
        <v>44354</v>
      </c>
      <c r="G386" s="122" t="s">
        <v>770</v>
      </c>
      <c r="H386" s="170">
        <v>260000</v>
      </c>
      <c r="I386" s="168" t="s">
        <v>1063</v>
      </c>
      <c r="J386" s="125" t="s">
        <v>770</v>
      </c>
    </row>
    <row r="387" spans="2:10" ht="12" x14ac:dyDescent="0.15">
      <c r="B387" s="121">
        <v>13</v>
      </c>
      <c r="C387" s="167" t="s">
        <v>70</v>
      </c>
      <c r="D387" s="168" t="s">
        <v>770</v>
      </c>
      <c r="E387" s="168" t="s">
        <v>770</v>
      </c>
      <c r="F387" s="169">
        <v>44354</v>
      </c>
      <c r="G387" s="122" t="s">
        <v>770</v>
      </c>
      <c r="H387" s="170">
        <v>2400000</v>
      </c>
      <c r="I387" s="168" t="s">
        <v>1063</v>
      </c>
      <c r="J387" s="125" t="s">
        <v>770</v>
      </c>
    </row>
    <row r="388" spans="2:10" ht="12" x14ac:dyDescent="0.15">
      <c r="B388" s="121">
        <v>13</v>
      </c>
      <c r="C388" s="167" t="s">
        <v>70</v>
      </c>
      <c r="D388" s="168" t="s">
        <v>770</v>
      </c>
      <c r="E388" s="168" t="s">
        <v>770</v>
      </c>
      <c r="F388" s="169">
        <v>44354</v>
      </c>
      <c r="G388" s="122" t="s">
        <v>770</v>
      </c>
      <c r="H388" s="170">
        <v>4800000</v>
      </c>
      <c r="I388" s="168" t="s">
        <v>1063</v>
      </c>
      <c r="J388" s="125" t="s">
        <v>770</v>
      </c>
    </row>
    <row r="389" spans="2:10" ht="12" x14ac:dyDescent="0.15">
      <c r="B389" s="121">
        <v>13</v>
      </c>
      <c r="C389" s="167" t="s">
        <v>70</v>
      </c>
      <c r="D389" s="168" t="s">
        <v>770</v>
      </c>
      <c r="E389" s="168" t="s">
        <v>770</v>
      </c>
      <c r="F389" s="169">
        <v>44354</v>
      </c>
      <c r="G389" s="122" t="s">
        <v>770</v>
      </c>
      <c r="H389" s="170">
        <v>3200000</v>
      </c>
      <c r="I389" s="168" t="s">
        <v>1063</v>
      </c>
      <c r="J389" s="125" t="s">
        <v>770</v>
      </c>
    </row>
    <row r="390" spans="2:10" ht="12" x14ac:dyDescent="0.15">
      <c r="B390" s="121">
        <v>13</v>
      </c>
      <c r="C390" s="167" t="s">
        <v>70</v>
      </c>
      <c r="D390" s="168" t="s">
        <v>770</v>
      </c>
      <c r="E390" s="168" t="s">
        <v>770</v>
      </c>
      <c r="F390" s="169">
        <v>44354</v>
      </c>
      <c r="G390" s="122" t="s">
        <v>770</v>
      </c>
      <c r="H390" s="170">
        <v>75000</v>
      </c>
      <c r="I390" s="168" t="s">
        <v>1063</v>
      </c>
      <c r="J390" s="125" t="s">
        <v>770</v>
      </c>
    </row>
    <row r="391" spans="2:10" ht="12" x14ac:dyDescent="0.15">
      <c r="B391" s="121">
        <v>13</v>
      </c>
      <c r="C391" s="167" t="s">
        <v>70</v>
      </c>
      <c r="D391" s="168" t="s">
        <v>770</v>
      </c>
      <c r="E391" s="168" t="s">
        <v>770</v>
      </c>
      <c r="F391" s="169">
        <v>44354</v>
      </c>
      <c r="G391" s="122" t="s">
        <v>770</v>
      </c>
      <c r="H391" s="170">
        <v>1200000</v>
      </c>
      <c r="I391" s="168" t="s">
        <v>1063</v>
      </c>
      <c r="J391" s="125" t="s">
        <v>770</v>
      </c>
    </row>
    <row r="392" spans="2:10" ht="12" x14ac:dyDescent="0.15">
      <c r="B392" s="121">
        <v>13</v>
      </c>
      <c r="C392" s="167" t="s">
        <v>70</v>
      </c>
      <c r="D392" s="168" t="s">
        <v>770</v>
      </c>
      <c r="E392" s="168" t="s">
        <v>770</v>
      </c>
      <c r="F392" s="169">
        <v>44354</v>
      </c>
      <c r="G392" s="122" t="s">
        <v>770</v>
      </c>
      <c r="H392" s="170">
        <v>9850000</v>
      </c>
      <c r="I392" s="168" t="s">
        <v>1063</v>
      </c>
      <c r="J392" s="125" t="s">
        <v>770</v>
      </c>
    </row>
    <row r="393" spans="2:10" ht="12" x14ac:dyDescent="0.15">
      <c r="B393" s="121">
        <v>13</v>
      </c>
      <c r="C393" s="167" t="s">
        <v>70</v>
      </c>
      <c r="D393" s="168" t="s">
        <v>770</v>
      </c>
      <c r="E393" s="168" t="s">
        <v>770</v>
      </c>
      <c r="F393" s="169">
        <v>44354</v>
      </c>
      <c r="G393" s="122" t="s">
        <v>770</v>
      </c>
      <c r="H393" s="170">
        <v>15800000</v>
      </c>
      <c r="I393" s="168" t="s">
        <v>1063</v>
      </c>
      <c r="J393" s="125" t="s">
        <v>770</v>
      </c>
    </row>
    <row r="394" spans="2:10" ht="12" x14ac:dyDescent="0.15">
      <c r="B394" s="121">
        <v>13</v>
      </c>
      <c r="C394" s="167" t="s">
        <v>70</v>
      </c>
      <c r="D394" s="168" t="s">
        <v>770</v>
      </c>
      <c r="E394" s="168" t="s">
        <v>770</v>
      </c>
      <c r="F394" s="169">
        <v>44354</v>
      </c>
      <c r="G394" s="122" t="s">
        <v>770</v>
      </c>
      <c r="H394" s="170">
        <v>6750000</v>
      </c>
      <c r="I394" s="168" t="s">
        <v>1063</v>
      </c>
      <c r="J394" s="125" t="s">
        <v>770</v>
      </c>
    </row>
    <row r="395" spans="2:10" ht="12" x14ac:dyDescent="0.15">
      <c r="B395" s="121">
        <v>13</v>
      </c>
      <c r="C395" s="167" t="s">
        <v>70</v>
      </c>
      <c r="D395" s="168" t="s">
        <v>770</v>
      </c>
      <c r="E395" s="168" t="s">
        <v>770</v>
      </c>
      <c r="F395" s="169">
        <v>44354</v>
      </c>
      <c r="G395" s="122" t="s">
        <v>770</v>
      </c>
      <c r="H395" s="170">
        <v>1500000</v>
      </c>
      <c r="I395" s="168" t="s">
        <v>1063</v>
      </c>
      <c r="J395" s="125" t="s">
        <v>770</v>
      </c>
    </row>
    <row r="396" spans="2:10" ht="12" x14ac:dyDescent="0.15">
      <c r="B396" s="121">
        <v>13</v>
      </c>
      <c r="C396" s="167" t="s">
        <v>70</v>
      </c>
      <c r="D396" s="168" t="s">
        <v>770</v>
      </c>
      <c r="E396" s="168" t="s">
        <v>770</v>
      </c>
      <c r="F396" s="169">
        <v>44354</v>
      </c>
      <c r="G396" s="122" t="s">
        <v>770</v>
      </c>
      <c r="H396" s="170">
        <v>3250000</v>
      </c>
      <c r="I396" s="168" t="s">
        <v>1063</v>
      </c>
      <c r="J396" s="125" t="s">
        <v>770</v>
      </c>
    </row>
    <row r="397" spans="2:10" ht="12" x14ac:dyDescent="0.15">
      <c r="B397" s="121">
        <v>13</v>
      </c>
      <c r="C397" s="167" t="s">
        <v>70</v>
      </c>
      <c r="D397" s="168" t="s">
        <v>770</v>
      </c>
      <c r="E397" s="168" t="s">
        <v>770</v>
      </c>
      <c r="F397" s="169">
        <v>44354</v>
      </c>
      <c r="G397" s="122" t="s">
        <v>770</v>
      </c>
      <c r="H397" s="170">
        <v>5000000</v>
      </c>
      <c r="I397" s="168" t="s">
        <v>1063</v>
      </c>
      <c r="J397" s="125" t="s">
        <v>770</v>
      </c>
    </row>
    <row r="398" spans="2:10" ht="12" x14ac:dyDescent="0.15">
      <c r="B398" s="121">
        <v>13</v>
      </c>
      <c r="C398" s="167" t="s">
        <v>70</v>
      </c>
      <c r="D398" s="168" t="s">
        <v>770</v>
      </c>
      <c r="E398" s="168" t="s">
        <v>770</v>
      </c>
      <c r="F398" s="169">
        <v>44354</v>
      </c>
      <c r="G398" s="122" t="s">
        <v>770</v>
      </c>
      <c r="H398" s="170">
        <v>310000</v>
      </c>
      <c r="I398" s="168" t="s">
        <v>1063</v>
      </c>
      <c r="J398" s="125" t="s">
        <v>770</v>
      </c>
    </row>
    <row r="399" spans="2:10" ht="12" x14ac:dyDescent="0.15">
      <c r="B399" s="121">
        <v>13</v>
      </c>
      <c r="C399" s="167" t="s">
        <v>70</v>
      </c>
      <c r="D399" s="168" t="s">
        <v>770</v>
      </c>
      <c r="E399" s="168" t="s">
        <v>770</v>
      </c>
      <c r="F399" s="169">
        <v>44354</v>
      </c>
      <c r="G399" s="122" t="s">
        <v>770</v>
      </c>
      <c r="H399" s="170">
        <v>3500000</v>
      </c>
      <c r="I399" s="168" t="s">
        <v>1063</v>
      </c>
      <c r="J399" s="125" t="s">
        <v>770</v>
      </c>
    </row>
    <row r="400" spans="2:10" ht="12" x14ac:dyDescent="0.15">
      <c r="B400" s="121">
        <v>13</v>
      </c>
      <c r="C400" s="167" t="s">
        <v>70</v>
      </c>
      <c r="D400" s="168" t="s">
        <v>770</v>
      </c>
      <c r="E400" s="168" t="s">
        <v>770</v>
      </c>
      <c r="F400" s="169">
        <v>44354</v>
      </c>
      <c r="G400" s="122" t="s">
        <v>770</v>
      </c>
      <c r="H400" s="170">
        <v>2800000</v>
      </c>
      <c r="I400" s="168" t="s">
        <v>1063</v>
      </c>
      <c r="J400" s="125" t="s">
        <v>770</v>
      </c>
    </row>
    <row r="401" spans="2:10" ht="12" x14ac:dyDescent="0.15">
      <c r="B401" s="121">
        <v>13</v>
      </c>
      <c r="C401" s="167" t="s">
        <v>70</v>
      </c>
      <c r="D401" s="168" t="s">
        <v>770</v>
      </c>
      <c r="E401" s="168" t="s">
        <v>770</v>
      </c>
      <c r="F401" s="169">
        <v>44354</v>
      </c>
      <c r="G401" s="122" t="s">
        <v>770</v>
      </c>
      <c r="H401" s="170">
        <v>360000</v>
      </c>
      <c r="I401" s="168" t="s">
        <v>1063</v>
      </c>
      <c r="J401" s="125" t="s">
        <v>770</v>
      </c>
    </row>
    <row r="402" spans="2:10" ht="12" x14ac:dyDescent="0.15">
      <c r="B402" s="121">
        <v>13</v>
      </c>
      <c r="C402" s="167" t="s">
        <v>70</v>
      </c>
      <c r="D402" s="168" t="s">
        <v>770</v>
      </c>
      <c r="E402" s="168" t="s">
        <v>770</v>
      </c>
      <c r="F402" s="169">
        <v>44354</v>
      </c>
      <c r="G402" s="122" t="s">
        <v>770</v>
      </c>
      <c r="H402" s="170">
        <v>9000000</v>
      </c>
      <c r="I402" s="168" t="s">
        <v>1063</v>
      </c>
      <c r="J402" s="125" t="s">
        <v>770</v>
      </c>
    </row>
    <row r="403" spans="2:10" ht="12" x14ac:dyDescent="0.15">
      <c r="B403" s="121">
        <v>13</v>
      </c>
      <c r="C403" s="167" t="s">
        <v>70</v>
      </c>
      <c r="D403" s="168" t="s">
        <v>770</v>
      </c>
      <c r="E403" s="168" t="s">
        <v>770</v>
      </c>
      <c r="F403" s="169">
        <v>44354</v>
      </c>
      <c r="G403" s="122" t="s">
        <v>770</v>
      </c>
      <c r="H403" s="170">
        <v>2750000</v>
      </c>
      <c r="I403" s="168" t="s">
        <v>1063</v>
      </c>
      <c r="J403" s="125" t="s">
        <v>770</v>
      </c>
    </row>
    <row r="404" spans="2:10" ht="12" x14ac:dyDescent="0.15">
      <c r="B404" s="121">
        <v>13</v>
      </c>
      <c r="C404" s="167" t="s">
        <v>70</v>
      </c>
      <c r="D404" s="168" t="s">
        <v>770</v>
      </c>
      <c r="E404" s="168" t="s">
        <v>770</v>
      </c>
      <c r="F404" s="169">
        <v>44354</v>
      </c>
      <c r="G404" s="122" t="s">
        <v>770</v>
      </c>
      <c r="H404" s="170">
        <v>2850000</v>
      </c>
      <c r="I404" s="168" t="s">
        <v>1063</v>
      </c>
      <c r="J404" s="125" t="s">
        <v>770</v>
      </c>
    </row>
    <row r="405" spans="2:10" ht="12" x14ac:dyDescent="0.15">
      <c r="B405" s="121">
        <v>13</v>
      </c>
      <c r="C405" s="167" t="s">
        <v>70</v>
      </c>
      <c r="D405" s="168" t="s">
        <v>770</v>
      </c>
      <c r="E405" s="168" t="s">
        <v>770</v>
      </c>
      <c r="F405" s="169">
        <v>44354</v>
      </c>
      <c r="G405" s="122" t="s">
        <v>770</v>
      </c>
      <c r="H405" s="170">
        <v>550000</v>
      </c>
      <c r="I405" s="168" t="s">
        <v>1063</v>
      </c>
      <c r="J405" s="125" t="s">
        <v>770</v>
      </c>
    </row>
    <row r="406" spans="2:10" ht="12" x14ac:dyDescent="0.15">
      <c r="B406" s="121">
        <v>13</v>
      </c>
      <c r="C406" s="167" t="s">
        <v>70</v>
      </c>
      <c r="D406" s="168" t="s">
        <v>770</v>
      </c>
      <c r="E406" s="168" t="s">
        <v>770</v>
      </c>
      <c r="F406" s="169">
        <v>44354</v>
      </c>
      <c r="G406" s="122" t="s">
        <v>770</v>
      </c>
      <c r="H406" s="170">
        <v>805000</v>
      </c>
      <c r="I406" s="168" t="s">
        <v>1063</v>
      </c>
      <c r="J406" s="125" t="s">
        <v>770</v>
      </c>
    </row>
    <row r="407" spans="2:10" ht="12" x14ac:dyDescent="0.15">
      <c r="B407" s="121">
        <v>13</v>
      </c>
      <c r="C407" s="167" t="s">
        <v>70</v>
      </c>
      <c r="D407" s="168" t="s">
        <v>770</v>
      </c>
      <c r="E407" s="168" t="s">
        <v>770</v>
      </c>
      <c r="F407" s="169">
        <v>44354</v>
      </c>
      <c r="G407" s="122" t="s">
        <v>770</v>
      </c>
      <c r="H407" s="170">
        <v>17500000</v>
      </c>
      <c r="I407" s="168" t="s">
        <v>1063</v>
      </c>
      <c r="J407" s="125" t="s">
        <v>770</v>
      </c>
    </row>
    <row r="408" spans="2:10" ht="12" x14ac:dyDescent="0.15">
      <c r="B408" s="121">
        <v>13</v>
      </c>
      <c r="C408" s="167" t="s">
        <v>70</v>
      </c>
      <c r="D408" s="168" t="s">
        <v>1086</v>
      </c>
      <c r="E408" s="168" t="s">
        <v>770</v>
      </c>
      <c r="F408" s="169">
        <v>44376</v>
      </c>
      <c r="G408" s="122" t="s">
        <v>770</v>
      </c>
      <c r="H408" s="170">
        <v>191096730</v>
      </c>
      <c r="I408" s="168" t="s">
        <v>1063</v>
      </c>
      <c r="J408" s="125" t="s">
        <v>770</v>
      </c>
    </row>
    <row r="409" spans="2:10" ht="12" x14ac:dyDescent="0.15">
      <c r="B409" s="121">
        <v>13</v>
      </c>
      <c r="C409" s="167" t="s">
        <v>70</v>
      </c>
      <c r="D409" s="168" t="s">
        <v>1112</v>
      </c>
      <c r="E409" s="168" t="s">
        <v>770</v>
      </c>
      <c r="F409" s="169">
        <v>44376</v>
      </c>
      <c r="G409" s="122" t="s">
        <v>770</v>
      </c>
      <c r="H409" s="170">
        <v>191096730</v>
      </c>
      <c r="I409" s="168" t="s">
        <v>1063</v>
      </c>
      <c r="J409" s="125" t="s">
        <v>770</v>
      </c>
    </row>
    <row r="410" spans="2:10" ht="12" x14ac:dyDescent="0.15">
      <c r="B410" s="121">
        <v>13</v>
      </c>
      <c r="C410" s="167" t="s">
        <v>70</v>
      </c>
      <c r="D410" s="168" t="s">
        <v>1113</v>
      </c>
      <c r="E410" s="168" t="s">
        <v>770</v>
      </c>
      <c r="F410" s="169">
        <v>44376</v>
      </c>
      <c r="G410" s="122" t="s">
        <v>770</v>
      </c>
      <c r="H410" s="170">
        <v>116798850</v>
      </c>
      <c r="I410" s="168" t="s">
        <v>1063</v>
      </c>
      <c r="J410" s="125" t="s">
        <v>770</v>
      </c>
    </row>
    <row r="411" spans="2:10" ht="12" x14ac:dyDescent="0.15">
      <c r="B411" s="121">
        <v>13</v>
      </c>
      <c r="C411" s="167" t="s">
        <v>70</v>
      </c>
      <c r="D411" s="168" t="s">
        <v>1114</v>
      </c>
      <c r="E411" s="168" t="s">
        <v>770</v>
      </c>
      <c r="F411" s="169">
        <v>44376</v>
      </c>
      <c r="G411" s="122" t="s">
        <v>770</v>
      </c>
      <c r="H411" s="170">
        <v>116798850</v>
      </c>
      <c r="I411" s="168" t="s">
        <v>1063</v>
      </c>
      <c r="J411" s="125" t="s">
        <v>770</v>
      </c>
    </row>
    <row r="412" spans="2:10" ht="12" x14ac:dyDescent="0.15">
      <c r="B412" s="121">
        <v>13</v>
      </c>
      <c r="C412" s="167" t="s">
        <v>70</v>
      </c>
      <c r="D412" s="168" t="s">
        <v>1115</v>
      </c>
      <c r="E412" s="168" t="s">
        <v>770</v>
      </c>
      <c r="F412" s="169">
        <v>44378</v>
      </c>
      <c r="G412" s="122" t="s">
        <v>770</v>
      </c>
      <c r="H412" s="170">
        <v>156239846</v>
      </c>
      <c r="I412" s="168" t="s">
        <v>1063</v>
      </c>
      <c r="J412" s="125" t="s">
        <v>770</v>
      </c>
    </row>
    <row r="413" spans="2:10" ht="12" x14ac:dyDescent="0.15">
      <c r="B413" s="121">
        <v>13</v>
      </c>
      <c r="C413" s="167" t="s">
        <v>70</v>
      </c>
      <c r="D413" s="168" t="s">
        <v>1115</v>
      </c>
      <c r="E413" s="168" t="s">
        <v>770</v>
      </c>
      <c r="F413" s="169">
        <v>44378</v>
      </c>
      <c r="G413" s="122" t="s">
        <v>770</v>
      </c>
      <c r="H413" s="170">
        <v>290159714</v>
      </c>
      <c r="I413" s="168" t="s">
        <v>1063</v>
      </c>
      <c r="J413" s="125" t="s">
        <v>770</v>
      </c>
    </row>
    <row r="414" spans="2:10" ht="12" x14ac:dyDescent="0.15">
      <c r="B414" s="121">
        <v>13</v>
      </c>
      <c r="C414" s="167" t="s">
        <v>70</v>
      </c>
      <c r="D414" s="168" t="s">
        <v>770</v>
      </c>
      <c r="E414" s="168" t="s">
        <v>770</v>
      </c>
      <c r="F414" s="169">
        <v>44377</v>
      </c>
      <c r="G414" s="122" t="s">
        <v>770</v>
      </c>
      <c r="H414" s="170">
        <v>13868400</v>
      </c>
      <c r="I414" s="168" t="s">
        <v>1063</v>
      </c>
      <c r="J414" s="125" t="s">
        <v>770</v>
      </c>
    </row>
    <row r="415" spans="2:10" ht="12" x14ac:dyDescent="0.15">
      <c r="B415" s="121">
        <v>13</v>
      </c>
      <c r="C415" s="167" t="s">
        <v>70</v>
      </c>
      <c r="D415" s="168" t="s">
        <v>770</v>
      </c>
      <c r="E415" s="168" t="s">
        <v>770</v>
      </c>
      <c r="F415" s="169">
        <v>44377</v>
      </c>
      <c r="G415" s="122" t="s">
        <v>770</v>
      </c>
      <c r="H415" s="170">
        <v>330200</v>
      </c>
      <c r="I415" s="168" t="s">
        <v>1063</v>
      </c>
      <c r="J415" s="125" t="s">
        <v>770</v>
      </c>
    </row>
    <row r="416" spans="2:10" ht="12" x14ac:dyDescent="0.15">
      <c r="B416" s="121">
        <v>13</v>
      </c>
      <c r="C416" s="167" t="s">
        <v>70</v>
      </c>
      <c r="D416" s="168" t="s">
        <v>1086</v>
      </c>
      <c r="E416" s="168" t="s">
        <v>770</v>
      </c>
      <c r="F416" s="169">
        <v>44396</v>
      </c>
      <c r="G416" s="122" t="s">
        <v>770</v>
      </c>
      <c r="H416" s="170">
        <v>46717079</v>
      </c>
      <c r="I416" s="168" t="s">
        <v>1063</v>
      </c>
      <c r="J416" s="125" t="s">
        <v>770</v>
      </c>
    </row>
    <row r="417" spans="2:10" ht="12" x14ac:dyDescent="0.15">
      <c r="B417" s="121">
        <v>13</v>
      </c>
      <c r="C417" s="167" t="s">
        <v>70</v>
      </c>
      <c r="D417" s="168" t="s">
        <v>1116</v>
      </c>
      <c r="E417" s="168" t="s">
        <v>770</v>
      </c>
      <c r="F417" s="169">
        <v>44403</v>
      </c>
      <c r="G417" s="122" t="s">
        <v>770</v>
      </c>
      <c r="H417" s="170">
        <v>-191096730</v>
      </c>
      <c r="I417" s="168" t="s">
        <v>1063</v>
      </c>
      <c r="J417" s="125" t="s">
        <v>770</v>
      </c>
    </row>
    <row r="418" spans="2:10" ht="12" x14ac:dyDescent="0.15">
      <c r="B418" s="121">
        <v>13</v>
      </c>
      <c r="C418" s="167" t="s">
        <v>70</v>
      </c>
      <c r="D418" s="168" t="s">
        <v>1117</v>
      </c>
      <c r="E418" s="168" t="s">
        <v>770</v>
      </c>
      <c r="F418" s="169">
        <v>44403</v>
      </c>
      <c r="G418" s="122" t="s">
        <v>770</v>
      </c>
      <c r="H418" s="170">
        <v>-116798850</v>
      </c>
      <c r="I418" s="168" t="s">
        <v>1063</v>
      </c>
      <c r="J418" s="125" t="s">
        <v>770</v>
      </c>
    </row>
    <row r="419" spans="2:10" ht="12" x14ac:dyDescent="0.15">
      <c r="B419" s="121">
        <v>13</v>
      </c>
      <c r="C419" s="167" t="s">
        <v>70</v>
      </c>
      <c r="D419" s="168" t="s">
        <v>1118</v>
      </c>
      <c r="E419" s="168" t="s">
        <v>770</v>
      </c>
      <c r="F419" s="169">
        <v>44404</v>
      </c>
      <c r="G419" s="122" t="s">
        <v>770</v>
      </c>
      <c r="H419" s="170">
        <v>97853749</v>
      </c>
      <c r="I419" s="168" t="s">
        <v>1063</v>
      </c>
      <c r="J419" s="125" t="s">
        <v>770</v>
      </c>
    </row>
    <row r="420" spans="2:10" ht="12" x14ac:dyDescent="0.15">
      <c r="B420" s="121">
        <v>13</v>
      </c>
      <c r="C420" s="167" t="s">
        <v>70</v>
      </c>
      <c r="D420" s="168" t="s">
        <v>1119</v>
      </c>
      <c r="E420" s="168" t="s">
        <v>770</v>
      </c>
      <c r="F420" s="169">
        <v>44408</v>
      </c>
      <c r="G420" s="122" t="s">
        <v>770</v>
      </c>
      <c r="H420" s="170">
        <v>37813937</v>
      </c>
      <c r="I420" s="168" t="s">
        <v>1063</v>
      </c>
      <c r="J420" s="125" t="s">
        <v>770</v>
      </c>
    </row>
    <row r="421" spans="2:10" ht="12" x14ac:dyDescent="0.15">
      <c r="B421" s="121">
        <v>13</v>
      </c>
      <c r="C421" s="167" t="s">
        <v>70</v>
      </c>
      <c r="D421" s="168" t="s">
        <v>1120</v>
      </c>
      <c r="E421" s="168" t="s">
        <v>770</v>
      </c>
      <c r="F421" s="169">
        <v>44408</v>
      </c>
      <c r="G421" s="122" t="s">
        <v>770</v>
      </c>
      <c r="H421" s="170">
        <v>9660000</v>
      </c>
      <c r="I421" s="168" t="s">
        <v>1063</v>
      </c>
      <c r="J421" s="125" t="s">
        <v>770</v>
      </c>
    </row>
    <row r="422" spans="2:10" ht="12" x14ac:dyDescent="0.15">
      <c r="B422" s="121">
        <v>13</v>
      </c>
      <c r="C422" s="167" t="s">
        <v>70</v>
      </c>
      <c r="D422" s="168" t="s">
        <v>1121</v>
      </c>
      <c r="E422" s="168" t="s">
        <v>770</v>
      </c>
      <c r="F422" s="169">
        <v>44408</v>
      </c>
      <c r="G422" s="122" t="s">
        <v>770</v>
      </c>
      <c r="H422" s="170">
        <v>40000000</v>
      </c>
      <c r="I422" s="168" t="s">
        <v>1063</v>
      </c>
      <c r="J422" s="125" t="s">
        <v>770</v>
      </c>
    </row>
    <row r="423" spans="2:10" ht="12" x14ac:dyDescent="0.15">
      <c r="B423" s="121">
        <v>13</v>
      </c>
      <c r="C423" s="167" t="s">
        <v>70</v>
      </c>
      <c r="D423" s="168" t="s">
        <v>1121</v>
      </c>
      <c r="E423" s="168" t="s">
        <v>770</v>
      </c>
      <c r="F423" s="169">
        <v>44408</v>
      </c>
      <c r="G423" s="122" t="s">
        <v>770</v>
      </c>
      <c r="H423" s="170">
        <v>5400000</v>
      </c>
      <c r="I423" s="168" t="s">
        <v>1063</v>
      </c>
      <c r="J423" s="125" t="s">
        <v>770</v>
      </c>
    </row>
    <row r="424" spans="2:10" ht="12" x14ac:dyDescent="0.15">
      <c r="B424" s="121">
        <v>13</v>
      </c>
      <c r="C424" s="167" t="s">
        <v>70</v>
      </c>
      <c r="D424" s="168" t="s">
        <v>1121</v>
      </c>
      <c r="E424" s="168" t="s">
        <v>770</v>
      </c>
      <c r="F424" s="169">
        <v>44408</v>
      </c>
      <c r="G424" s="122" t="s">
        <v>770</v>
      </c>
      <c r="H424" s="170">
        <v>37050000</v>
      </c>
      <c r="I424" s="168" t="s">
        <v>1063</v>
      </c>
      <c r="J424" s="125" t="s">
        <v>770</v>
      </c>
    </row>
    <row r="425" spans="2:10" ht="12" x14ac:dyDescent="0.15">
      <c r="B425" s="121">
        <v>13</v>
      </c>
      <c r="C425" s="167" t="s">
        <v>70</v>
      </c>
      <c r="D425" s="168" t="s">
        <v>1121</v>
      </c>
      <c r="E425" s="168" t="s">
        <v>770</v>
      </c>
      <c r="F425" s="169">
        <v>44408</v>
      </c>
      <c r="G425" s="122" t="s">
        <v>770</v>
      </c>
      <c r="H425" s="170">
        <v>47200000</v>
      </c>
      <c r="I425" s="168" t="s">
        <v>1063</v>
      </c>
      <c r="J425" s="125" t="s">
        <v>770</v>
      </c>
    </row>
    <row r="426" spans="2:10" ht="12" x14ac:dyDescent="0.15">
      <c r="B426" s="121">
        <v>13</v>
      </c>
      <c r="C426" s="167" t="s">
        <v>70</v>
      </c>
      <c r="D426" s="168" t="s">
        <v>1121</v>
      </c>
      <c r="E426" s="168" t="s">
        <v>770</v>
      </c>
      <c r="F426" s="169">
        <v>44408</v>
      </c>
      <c r="G426" s="122" t="s">
        <v>770</v>
      </c>
      <c r="H426" s="170">
        <v>6480000</v>
      </c>
      <c r="I426" s="168" t="s">
        <v>1063</v>
      </c>
      <c r="J426" s="125" t="s">
        <v>770</v>
      </c>
    </row>
    <row r="427" spans="2:10" ht="12" x14ac:dyDescent="0.15">
      <c r="B427" s="121">
        <v>13</v>
      </c>
      <c r="C427" s="167" t="s">
        <v>70</v>
      </c>
      <c r="D427" s="168" t="s">
        <v>1121</v>
      </c>
      <c r="E427" s="168" t="s">
        <v>770</v>
      </c>
      <c r="F427" s="169">
        <v>44408</v>
      </c>
      <c r="G427" s="122" t="s">
        <v>770</v>
      </c>
      <c r="H427" s="170">
        <v>400000000</v>
      </c>
      <c r="I427" s="168" t="s">
        <v>1063</v>
      </c>
      <c r="J427" s="125" t="s">
        <v>770</v>
      </c>
    </row>
    <row r="428" spans="2:10" ht="12" x14ac:dyDescent="0.15">
      <c r="B428" s="121">
        <v>13</v>
      </c>
      <c r="C428" s="167" t="s">
        <v>70</v>
      </c>
      <c r="D428" s="168" t="s">
        <v>1121</v>
      </c>
      <c r="E428" s="168" t="s">
        <v>770</v>
      </c>
      <c r="F428" s="169">
        <v>44408</v>
      </c>
      <c r="G428" s="122" t="s">
        <v>770</v>
      </c>
      <c r="H428" s="170">
        <v>345000000</v>
      </c>
      <c r="I428" s="168" t="s">
        <v>1063</v>
      </c>
      <c r="J428" s="125" t="s">
        <v>770</v>
      </c>
    </row>
    <row r="429" spans="2:10" ht="12" x14ac:dyDescent="0.15">
      <c r="B429" s="121">
        <v>13</v>
      </c>
      <c r="C429" s="167" t="s">
        <v>70</v>
      </c>
      <c r="D429" s="168" t="s">
        <v>1122</v>
      </c>
      <c r="E429" s="168" t="s">
        <v>770</v>
      </c>
      <c r="F429" s="169">
        <v>44408</v>
      </c>
      <c r="G429" s="122" t="s">
        <v>770</v>
      </c>
      <c r="H429" s="170">
        <v>11340000</v>
      </c>
      <c r="I429" s="168" t="s">
        <v>1063</v>
      </c>
      <c r="J429" s="125" t="s">
        <v>770</v>
      </c>
    </row>
    <row r="430" spans="2:10" ht="12" x14ac:dyDescent="0.15">
      <c r="B430" s="121">
        <v>13</v>
      </c>
      <c r="C430" s="167" t="s">
        <v>70</v>
      </c>
      <c r="D430" s="168" t="s">
        <v>1123</v>
      </c>
      <c r="E430" s="168" t="s">
        <v>770</v>
      </c>
      <c r="F430" s="169">
        <v>44426</v>
      </c>
      <c r="G430" s="122" t="s">
        <v>770</v>
      </c>
      <c r="H430" s="170">
        <v>100000000</v>
      </c>
      <c r="I430" s="168" t="s">
        <v>1063</v>
      </c>
      <c r="J430" s="125" t="s">
        <v>770</v>
      </c>
    </row>
    <row r="431" spans="2:10" ht="12" x14ac:dyDescent="0.15">
      <c r="B431" s="121">
        <v>13</v>
      </c>
      <c r="C431" s="167" t="s">
        <v>70</v>
      </c>
      <c r="D431" s="168" t="s">
        <v>1124</v>
      </c>
      <c r="E431" s="168" t="s">
        <v>770</v>
      </c>
      <c r="F431" s="169">
        <v>44433</v>
      </c>
      <c r="G431" s="122" t="s">
        <v>770</v>
      </c>
      <c r="H431" s="170">
        <v>127883674</v>
      </c>
      <c r="I431" s="168" t="s">
        <v>1063</v>
      </c>
      <c r="J431" s="125" t="s">
        <v>770</v>
      </c>
    </row>
    <row r="432" spans="2:10" ht="12" x14ac:dyDescent="0.15">
      <c r="B432" s="121">
        <v>13</v>
      </c>
      <c r="C432" s="167" t="s">
        <v>70</v>
      </c>
      <c r="D432" s="168" t="s">
        <v>1125</v>
      </c>
      <c r="E432" s="168" t="s">
        <v>770</v>
      </c>
      <c r="F432" s="169">
        <v>44439</v>
      </c>
      <c r="G432" s="122" t="s">
        <v>770</v>
      </c>
      <c r="H432" s="170">
        <v>263369980</v>
      </c>
      <c r="I432" s="168" t="s">
        <v>1063</v>
      </c>
      <c r="J432" s="125" t="s">
        <v>770</v>
      </c>
    </row>
    <row r="433" spans="2:10" ht="12" x14ac:dyDescent="0.15">
      <c r="B433" s="121">
        <v>13</v>
      </c>
      <c r="C433" s="167" t="s">
        <v>70</v>
      </c>
      <c r="D433" s="168" t="s">
        <v>1126</v>
      </c>
      <c r="E433" s="168" t="s">
        <v>770</v>
      </c>
      <c r="F433" s="169">
        <v>44440</v>
      </c>
      <c r="G433" s="122" t="s">
        <v>770</v>
      </c>
      <c r="H433" s="170">
        <v>298379088</v>
      </c>
      <c r="I433" s="168" t="s">
        <v>1063</v>
      </c>
      <c r="J433" s="125" t="s">
        <v>770</v>
      </c>
    </row>
    <row r="434" spans="2:10" ht="12" x14ac:dyDescent="0.15">
      <c r="B434" s="121">
        <v>13</v>
      </c>
      <c r="C434" s="167" t="s">
        <v>70</v>
      </c>
      <c r="D434" s="168" t="s">
        <v>1127</v>
      </c>
      <c r="E434" s="168" t="s">
        <v>770</v>
      </c>
      <c r="F434" s="169">
        <v>44439</v>
      </c>
      <c r="G434" s="122" t="s">
        <v>770</v>
      </c>
      <c r="H434" s="170">
        <v>11340000</v>
      </c>
      <c r="I434" s="168" t="s">
        <v>1063</v>
      </c>
      <c r="J434" s="125" t="s">
        <v>770</v>
      </c>
    </row>
    <row r="435" spans="2:10" ht="12" x14ac:dyDescent="0.15">
      <c r="B435" s="121">
        <v>13</v>
      </c>
      <c r="C435" s="167" t="s">
        <v>70</v>
      </c>
      <c r="D435" s="168" t="s">
        <v>1128</v>
      </c>
      <c r="E435" s="168" t="s">
        <v>770</v>
      </c>
      <c r="F435" s="169">
        <v>44456</v>
      </c>
      <c r="G435" s="122" t="s">
        <v>770</v>
      </c>
      <c r="H435" s="170">
        <v>588611623</v>
      </c>
      <c r="I435" s="168" t="s">
        <v>1063</v>
      </c>
      <c r="J435" s="125" t="s">
        <v>770</v>
      </c>
    </row>
    <row r="436" spans="2:10" ht="12" x14ac:dyDescent="0.15">
      <c r="B436" s="121">
        <v>13</v>
      </c>
      <c r="C436" s="167" t="s">
        <v>70</v>
      </c>
      <c r="D436" s="168" t="s">
        <v>770</v>
      </c>
      <c r="E436" s="168" t="s">
        <v>770</v>
      </c>
      <c r="F436" s="169">
        <v>44460</v>
      </c>
      <c r="G436" s="122" t="s">
        <v>770</v>
      </c>
      <c r="H436" s="170">
        <v>1300000</v>
      </c>
      <c r="I436" s="168" t="s">
        <v>1063</v>
      </c>
      <c r="J436" s="125" t="s">
        <v>770</v>
      </c>
    </row>
    <row r="437" spans="2:10" ht="12" x14ac:dyDescent="0.15">
      <c r="B437" s="121">
        <v>13</v>
      </c>
      <c r="C437" s="167" t="s">
        <v>70</v>
      </c>
      <c r="D437" s="168" t="s">
        <v>770</v>
      </c>
      <c r="E437" s="168" t="s">
        <v>770</v>
      </c>
      <c r="F437" s="169">
        <v>44460</v>
      </c>
      <c r="G437" s="122" t="s">
        <v>770</v>
      </c>
      <c r="H437" s="170">
        <v>59600</v>
      </c>
      <c r="I437" s="168" t="s">
        <v>1063</v>
      </c>
      <c r="J437" s="125" t="s">
        <v>770</v>
      </c>
    </row>
    <row r="438" spans="2:10" ht="12" x14ac:dyDescent="0.15">
      <c r="B438" s="121">
        <v>13</v>
      </c>
      <c r="C438" s="167" t="s">
        <v>70</v>
      </c>
      <c r="D438" s="168" t="s">
        <v>770</v>
      </c>
      <c r="E438" s="168" t="s">
        <v>770</v>
      </c>
      <c r="F438" s="169">
        <v>44460</v>
      </c>
      <c r="G438" s="122" t="s">
        <v>770</v>
      </c>
      <c r="H438" s="170">
        <v>393000</v>
      </c>
      <c r="I438" s="168" t="s">
        <v>1063</v>
      </c>
      <c r="J438" s="125" t="s">
        <v>770</v>
      </c>
    </row>
    <row r="439" spans="2:10" ht="12" x14ac:dyDescent="0.15">
      <c r="B439" s="121">
        <v>13</v>
      </c>
      <c r="C439" s="167" t="s">
        <v>70</v>
      </c>
      <c r="D439" s="168" t="s">
        <v>770</v>
      </c>
      <c r="E439" s="168" t="s">
        <v>770</v>
      </c>
      <c r="F439" s="169">
        <v>44460</v>
      </c>
      <c r="G439" s="122" t="s">
        <v>770</v>
      </c>
      <c r="H439" s="170">
        <v>950000</v>
      </c>
      <c r="I439" s="168" t="s">
        <v>1063</v>
      </c>
      <c r="J439" s="125" t="s">
        <v>770</v>
      </c>
    </row>
    <row r="440" spans="2:10" ht="12" x14ac:dyDescent="0.15">
      <c r="B440" s="121">
        <v>13</v>
      </c>
      <c r="C440" s="167" t="s">
        <v>70</v>
      </c>
      <c r="D440" s="168" t="s">
        <v>770</v>
      </c>
      <c r="E440" s="168" t="s">
        <v>770</v>
      </c>
      <c r="F440" s="169">
        <v>44460</v>
      </c>
      <c r="G440" s="122" t="s">
        <v>770</v>
      </c>
      <c r="H440" s="170">
        <v>1950000</v>
      </c>
      <c r="I440" s="168" t="s">
        <v>1063</v>
      </c>
      <c r="J440" s="125" t="s">
        <v>770</v>
      </c>
    </row>
    <row r="441" spans="2:10" ht="12" x14ac:dyDescent="0.15">
      <c r="B441" s="121">
        <v>13</v>
      </c>
      <c r="C441" s="167" t="s">
        <v>70</v>
      </c>
      <c r="D441" s="168" t="s">
        <v>770</v>
      </c>
      <c r="E441" s="168" t="s">
        <v>770</v>
      </c>
      <c r="F441" s="169">
        <v>44460</v>
      </c>
      <c r="G441" s="122" t="s">
        <v>770</v>
      </c>
      <c r="H441" s="170">
        <v>106000</v>
      </c>
      <c r="I441" s="168" t="s">
        <v>1063</v>
      </c>
      <c r="J441" s="125" t="s">
        <v>770</v>
      </c>
    </row>
    <row r="442" spans="2:10" ht="12" x14ac:dyDescent="0.15">
      <c r="B442" s="121">
        <v>13</v>
      </c>
      <c r="C442" s="167" t="s">
        <v>70</v>
      </c>
      <c r="D442" s="168" t="s">
        <v>770</v>
      </c>
      <c r="E442" s="168" t="s">
        <v>770</v>
      </c>
      <c r="F442" s="169">
        <v>44460</v>
      </c>
      <c r="G442" s="122" t="s">
        <v>770</v>
      </c>
      <c r="H442" s="170">
        <v>340000</v>
      </c>
      <c r="I442" s="168" t="s">
        <v>1063</v>
      </c>
      <c r="J442" s="125" t="s">
        <v>770</v>
      </c>
    </row>
    <row r="443" spans="2:10" ht="12" x14ac:dyDescent="0.15">
      <c r="B443" s="121">
        <v>13</v>
      </c>
      <c r="C443" s="167" t="s">
        <v>70</v>
      </c>
      <c r="D443" s="168" t="s">
        <v>770</v>
      </c>
      <c r="E443" s="168" t="s">
        <v>770</v>
      </c>
      <c r="F443" s="169">
        <v>44460</v>
      </c>
      <c r="G443" s="122" t="s">
        <v>770</v>
      </c>
      <c r="H443" s="170">
        <v>1500000</v>
      </c>
      <c r="I443" s="168" t="s">
        <v>1063</v>
      </c>
      <c r="J443" s="125" t="s">
        <v>770</v>
      </c>
    </row>
    <row r="444" spans="2:10" ht="12" x14ac:dyDescent="0.15">
      <c r="B444" s="121">
        <v>13</v>
      </c>
      <c r="C444" s="167" t="s">
        <v>70</v>
      </c>
      <c r="D444" s="168" t="s">
        <v>770</v>
      </c>
      <c r="E444" s="168" t="s">
        <v>770</v>
      </c>
      <c r="F444" s="169">
        <v>44460</v>
      </c>
      <c r="G444" s="122" t="s">
        <v>770</v>
      </c>
      <c r="H444" s="170">
        <v>450000</v>
      </c>
      <c r="I444" s="168" t="s">
        <v>1063</v>
      </c>
      <c r="J444" s="125" t="s">
        <v>770</v>
      </c>
    </row>
    <row r="445" spans="2:10" ht="12" x14ac:dyDescent="0.15">
      <c r="B445" s="121">
        <v>13</v>
      </c>
      <c r="C445" s="167" t="s">
        <v>70</v>
      </c>
      <c r="D445" s="168" t="s">
        <v>770</v>
      </c>
      <c r="E445" s="168" t="s">
        <v>770</v>
      </c>
      <c r="F445" s="169">
        <v>44460</v>
      </c>
      <c r="G445" s="122" t="s">
        <v>770</v>
      </c>
      <c r="H445" s="170">
        <v>9750000</v>
      </c>
      <c r="I445" s="168" t="s">
        <v>1063</v>
      </c>
      <c r="J445" s="125" t="s">
        <v>770</v>
      </c>
    </row>
    <row r="446" spans="2:10" ht="12" x14ac:dyDescent="0.15">
      <c r="B446" s="121">
        <v>13</v>
      </c>
      <c r="C446" s="167" t="s">
        <v>70</v>
      </c>
      <c r="D446" s="168" t="s">
        <v>770</v>
      </c>
      <c r="E446" s="168" t="s">
        <v>770</v>
      </c>
      <c r="F446" s="169">
        <v>44460</v>
      </c>
      <c r="G446" s="122" t="s">
        <v>770</v>
      </c>
      <c r="H446" s="170">
        <v>1750000</v>
      </c>
      <c r="I446" s="168" t="s">
        <v>1063</v>
      </c>
      <c r="J446" s="125" t="s">
        <v>770</v>
      </c>
    </row>
    <row r="447" spans="2:10" ht="12" x14ac:dyDescent="0.15">
      <c r="B447" s="121">
        <v>13</v>
      </c>
      <c r="C447" s="167" t="s">
        <v>70</v>
      </c>
      <c r="D447" s="168" t="s">
        <v>770</v>
      </c>
      <c r="E447" s="168" t="s">
        <v>770</v>
      </c>
      <c r="F447" s="169">
        <v>44460</v>
      </c>
      <c r="G447" s="122" t="s">
        <v>770</v>
      </c>
      <c r="H447" s="170">
        <v>1850000</v>
      </c>
      <c r="I447" s="168" t="s">
        <v>1063</v>
      </c>
      <c r="J447" s="125" t="s">
        <v>770</v>
      </c>
    </row>
    <row r="448" spans="2:10" ht="12" x14ac:dyDescent="0.15">
      <c r="B448" s="121">
        <v>13</v>
      </c>
      <c r="C448" s="167" t="s">
        <v>70</v>
      </c>
      <c r="D448" s="168" t="s">
        <v>770</v>
      </c>
      <c r="E448" s="168" t="s">
        <v>770</v>
      </c>
      <c r="F448" s="169">
        <v>44460</v>
      </c>
      <c r="G448" s="122" t="s">
        <v>770</v>
      </c>
      <c r="H448" s="170">
        <v>3700000</v>
      </c>
      <c r="I448" s="168" t="s">
        <v>1063</v>
      </c>
      <c r="J448" s="125" t="s">
        <v>770</v>
      </c>
    </row>
    <row r="449" spans="2:10" ht="12" x14ac:dyDescent="0.15">
      <c r="B449" s="121">
        <v>13</v>
      </c>
      <c r="C449" s="167" t="s">
        <v>70</v>
      </c>
      <c r="D449" s="168" t="s">
        <v>770</v>
      </c>
      <c r="E449" s="168" t="s">
        <v>770</v>
      </c>
      <c r="F449" s="169">
        <v>44460</v>
      </c>
      <c r="G449" s="122" t="s">
        <v>770</v>
      </c>
      <c r="H449" s="170">
        <v>450000</v>
      </c>
      <c r="I449" s="168" t="s">
        <v>1063</v>
      </c>
      <c r="J449" s="125" t="s">
        <v>770</v>
      </c>
    </row>
    <row r="450" spans="2:10" ht="12" x14ac:dyDescent="0.15">
      <c r="B450" s="121">
        <v>13</v>
      </c>
      <c r="C450" s="167" t="s">
        <v>70</v>
      </c>
      <c r="D450" s="168" t="s">
        <v>770</v>
      </c>
      <c r="E450" s="168" t="s">
        <v>770</v>
      </c>
      <c r="F450" s="169">
        <v>44460</v>
      </c>
      <c r="G450" s="122" t="s">
        <v>770</v>
      </c>
      <c r="H450" s="170">
        <v>925000</v>
      </c>
      <c r="I450" s="168" t="s">
        <v>1063</v>
      </c>
      <c r="J450" s="125" t="s">
        <v>770</v>
      </c>
    </row>
    <row r="451" spans="2:10" ht="12" x14ac:dyDescent="0.15">
      <c r="B451" s="121">
        <v>13</v>
      </c>
      <c r="C451" s="167" t="s">
        <v>70</v>
      </c>
      <c r="D451" s="168" t="s">
        <v>770</v>
      </c>
      <c r="E451" s="168" t="s">
        <v>770</v>
      </c>
      <c r="F451" s="169">
        <v>44460</v>
      </c>
      <c r="G451" s="122" t="s">
        <v>770</v>
      </c>
      <c r="H451" s="170">
        <v>39500000</v>
      </c>
      <c r="I451" s="168" t="s">
        <v>1063</v>
      </c>
      <c r="J451" s="125" t="s">
        <v>770</v>
      </c>
    </row>
    <row r="452" spans="2:10" ht="12" x14ac:dyDescent="0.15">
      <c r="B452" s="121">
        <v>13</v>
      </c>
      <c r="C452" s="167" t="s">
        <v>70</v>
      </c>
      <c r="D452" s="168" t="s">
        <v>770</v>
      </c>
      <c r="E452" s="168" t="s">
        <v>770</v>
      </c>
      <c r="F452" s="169">
        <v>44460</v>
      </c>
      <c r="G452" s="122" t="s">
        <v>770</v>
      </c>
      <c r="H452" s="170">
        <v>98750000</v>
      </c>
      <c r="I452" s="168" t="s">
        <v>1063</v>
      </c>
      <c r="J452" s="125" t="s">
        <v>770</v>
      </c>
    </row>
    <row r="453" spans="2:10" ht="12" x14ac:dyDescent="0.15">
      <c r="B453" s="121">
        <v>13</v>
      </c>
      <c r="C453" s="167" t="s">
        <v>70</v>
      </c>
      <c r="D453" s="168" t="s">
        <v>770</v>
      </c>
      <c r="E453" s="168" t="s">
        <v>770</v>
      </c>
      <c r="F453" s="169">
        <v>44460</v>
      </c>
      <c r="G453" s="122" t="s">
        <v>770</v>
      </c>
      <c r="H453" s="170">
        <v>5250000</v>
      </c>
      <c r="I453" s="168" t="s">
        <v>1063</v>
      </c>
      <c r="J453" s="125" t="s">
        <v>770</v>
      </c>
    </row>
    <row r="454" spans="2:10" ht="12" x14ac:dyDescent="0.15">
      <c r="B454" s="121">
        <v>13</v>
      </c>
      <c r="C454" s="167" t="s">
        <v>70</v>
      </c>
      <c r="D454" s="168" t="s">
        <v>770</v>
      </c>
      <c r="E454" s="168" t="s">
        <v>770</v>
      </c>
      <c r="F454" s="169">
        <v>44460</v>
      </c>
      <c r="G454" s="122" t="s">
        <v>770</v>
      </c>
      <c r="H454" s="170">
        <v>16050000</v>
      </c>
      <c r="I454" s="168" t="s">
        <v>1063</v>
      </c>
      <c r="J454" s="125" t="s">
        <v>770</v>
      </c>
    </row>
    <row r="455" spans="2:10" ht="12" x14ac:dyDescent="0.15">
      <c r="B455" s="121">
        <v>13</v>
      </c>
      <c r="C455" s="167" t="s">
        <v>70</v>
      </c>
      <c r="D455" s="168" t="s">
        <v>770</v>
      </c>
      <c r="E455" s="168" t="s">
        <v>770</v>
      </c>
      <c r="F455" s="169">
        <v>44460</v>
      </c>
      <c r="G455" s="122" t="s">
        <v>770</v>
      </c>
      <c r="H455" s="170">
        <v>2400000</v>
      </c>
      <c r="I455" s="168" t="s">
        <v>1063</v>
      </c>
      <c r="J455" s="125" t="s">
        <v>770</v>
      </c>
    </row>
    <row r="456" spans="2:10" ht="12" x14ac:dyDescent="0.15">
      <c r="B456" s="121">
        <v>13</v>
      </c>
      <c r="C456" s="167" t="s">
        <v>70</v>
      </c>
      <c r="D456" s="168" t="s">
        <v>770</v>
      </c>
      <c r="E456" s="168" t="s">
        <v>770</v>
      </c>
      <c r="F456" s="169">
        <v>44460</v>
      </c>
      <c r="G456" s="122" t="s">
        <v>770</v>
      </c>
      <c r="H456" s="170">
        <v>9750000</v>
      </c>
      <c r="I456" s="168" t="s">
        <v>1063</v>
      </c>
      <c r="J456" s="125" t="s">
        <v>770</v>
      </c>
    </row>
    <row r="457" spans="2:10" ht="12" x14ac:dyDescent="0.15">
      <c r="B457" s="121">
        <v>13</v>
      </c>
      <c r="C457" s="167" t="s">
        <v>70</v>
      </c>
      <c r="D457" s="168" t="s">
        <v>770</v>
      </c>
      <c r="E457" s="168" t="s">
        <v>770</v>
      </c>
      <c r="F457" s="169">
        <v>44460</v>
      </c>
      <c r="G457" s="122" t="s">
        <v>770</v>
      </c>
      <c r="H457" s="170">
        <v>700000</v>
      </c>
      <c r="I457" s="168" t="s">
        <v>1063</v>
      </c>
      <c r="J457" s="125" t="s">
        <v>770</v>
      </c>
    </row>
    <row r="458" spans="2:10" ht="12" x14ac:dyDescent="0.15">
      <c r="B458" s="121">
        <v>13</v>
      </c>
      <c r="C458" s="167" t="s">
        <v>70</v>
      </c>
      <c r="D458" s="168" t="s">
        <v>770</v>
      </c>
      <c r="E458" s="168" t="s">
        <v>770</v>
      </c>
      <c r="F458" s="169">
        <v>44460</v>
      </c>
      <c r="G458" s="122" t="s">
        <v>770</v>
      </c>
      <c r="H458" s="170">
        <v>5300000</v>
      </c>
      <c r="I458" s="168" t="s">
        <v>1063</v>
      </c>
      <c r="J458" s="125" t="s">
        <v>770</v>
      </c>
    </row>
    <row r="459" spans="2:10" ht="12" x14ac:dyDescent="0.15">
      <c r="B459" s="121">
        <v>13</v>
      </c>
      <c r="C459" s="167" t="s">
        <v>70</v>
      </c>
      <c r="D459" s="168" t="s">
        <v>770</v>
      </c>
      <c r="E459" s="168" t="s">
        <v>770</v>
      </c>
      <c r="F459" s="169">
        <v>44460</v>
      </c>
      <c r="G459" s="122" t="s">
        <v>770</v>
      </c>
      <c r="H459" s="170">
        <v>3950000</v>
      </c>
      <c r="I459" s="168" t="s">
        <v>1063</v>
      </c>
      <c r="J459" s="125" t="s">
        <v>770</v>
      </c>
    </row>
    <row r="460" spans="2:10" ht="12" x14ac:dyDescent="0.15">
      <c r="B460" s="121">
        <v>13</v>
      </c>
      <c r="C460" s="167" t="s">
        <v>70</v>
      </c>
      <c r="D460" s="168" t="s">
        <v>770</v>
      </c>
      <c r="E460" s="168" t="s">
        <v>770</v>
      </c>
      <c r="F460" s="169">
        <v>44460</v>
      </c>
      <c r="G460" s="122" t="s">
        <v>770</v>
      </c>
      <c r="H460" s="170">
        <v>10000000</v>
      </c>
      <c r="I460" s="168" t="s">
        <v>1063</v>
      </c>
      <c r="J460" s="125" t="s">
        <v>770</v>
      </c>
    </row>
    <row r="461" spans="2:10" ht="12" x14ac:dyDescent="0.15">
      <c r="B461" s="121">
        <v>13</v>
      </c>
      <c r="C461" s="167" t="s">
        <v>70</v>
      </c>
      <c r="D461" s="168" t="s">
        <v>770</v>
      </c>
      <c r="E461" s="168" t="s">
        <v>770</v>
      </c>
      <c r="F461" s="169">
        <v>44460</v>
      </c>
      <c r="G461" s="122" t="s">
        <v>770</v>
      </c>
      <c r="H461" s="170">
        <v>14250000</v>
      </c>
      <c r="I461" s="168" t="s">
        <v>1063</v>
      </c>
      <c r="J461" s="125" t="s">
        <v>770</v>
      </c>
    </row>
    <row r="462" spans="2:10" ht="12" x14ac:dyDescent="0.15">
      <c r="B462" s="121">
        <v>13</v>
      </c>
      <c r="C462" s="167" t="s">
        <v>70</v>
      </c>
      <c r="D462" s="168" t="s">
        <v>770</v>
      </c>
      <c r="E462" s="168" t="s">
        <v>770</v>
      </c>
      <c r="F462" s="169">
        <v>44460</v>
      </c>
      <c r="G462" s="122" t="s">
        <v>770</v>
      </c>
      <c r="H462" s="170">
        <v>4720000</v>
      </c>
      <c r="I462" s="168" t="s">
        <v>1063</v>
      </c>
      <c r="J462" s="125" t="s">
        <v>770</v>
      </c>
    </row>
    <row r="463" spans="2:10" ht="12" x14ac:dyDescent="0.15">
      <c r="B463" s="121">
        <v>13</v>
      </c>
      <c r="C463" s="167" t="s">
        <v>70</v>
      </c>
      <c r="D463" s="168" t="s">
        <v>770</v>
      </c>
      <c r="E463" s="168" t="s">
        <v>770</v>
      </c>
      <c r="F463" s="169">
        <v>44460</v>
      </c>
      <c r="G463" s="122" t="s">
        <v>770</v>
      </c>
      <c r="H463" s="170">
        <v>3450000</v>
      </c>
      <c r="I463" s="168" t="s">
        <v>1063</v>
      </c>
      <c r="J463" s="125" t="s">
        <v>770</v>
      </c>
    </row>
    <row r="464" spans="2:10" ht="12" x14ac:dyDescent="0.15">
      <c r="B464" s="121">
        <v>13</v>
      </c>
      <c r="C464" s="167" t="s">
        <v>70</v>
      </c>
      <c r="D464" s="168" t="s">
        <v>770</v>
      </c>
      <c r="E464" s="168" t="s">
        <v>770</v>
      </c>
      <c r="F464" s="169">
        <v>44460</v>
      </c>
      <c r="G464" s="122" t="s">
        <v>770</v>
      </c>
      <c r="H464" s="170">
        <v>2500000</v>
      </c>
      <c r="I464" s="168" t="s">
        <v>1063</v>
      </c>
      <c r="J464" s="125" t="s">
        <v>770</v>
      </c>
    </row>
    <row r="465" spans="2:10" ht="12" x14ac:dyDescent="0.15">
      <c r="B465" s="121">
        <v>13</v>
      </c>
      <c r="C465" s="167" t="s">
        <v>70</v>
      </c>
      <c r="D465" s="168" t="s">
        <v>770</v>
      </c>
      <c r="E465" s="168" t="s">
        <v>770</v>
      </c>
      <c r="F465" s="169">
        <v>44460</v>
      </c>
      <c r="G465" s="122" t="s">
        <v>770</v>
      </c>
      <c r="H465" s="170">
        <v>5550000</v>
      </c>
      <c r="I465" s="168" t="s">
        <v>1063</v>
      </c>
      <c r="J465" s="125" t="s">
        <v>770</v>
      </c>
    </row>
    <row r="466" spans="2:10" ht="12" x14ac:dyDescent="0.15">
      <c r="B466" s="121">
        <v>13</v>
      </c>
      <c r="C466" s="167" t="s">
        <v>70</v>
      </c>
      <c r="D466" s="168" t="s">
        <v>770</v>
      </c>
      <c r="E466" s="168" t="s">
        <v>770</v>
      </c>
      <c r="F466" s="169">
        <v>44460</v>
      </c>
      <c r="G466" s="122" t="s">
        <v>770</v>
      </c>
      <c r="H466" s="170">
        <v>850000</v>
      </c>
      <c r="I466" s="168" t="s">
        <v>1063</v>
      </c>
      <c r="J466" s="125" t="s">
        <v>770</v>
      </c>
    </row>
    <row r="467" spans="2:10" ht="12" x14ac:dyDescent="0.15">
      <c r="B467" s="121">
        <v>13</v>
      </c>
      <c r="C467" s="167" t="s">
        <v>70</v>
      </c>
      <c r="D467" s="168" t="s">
        <v>770</v>
      </c>
      <c r="E467" s="168" t="s">
        <v>770</v>
      </c>
      <c r="F467" s="169">
        <v>44460</v>
      </c>
      <c r="G467" s="122" t="s">
        <v>770</v>
      </c>
      <c r="H467" s="170">
        <v>17500000</v>
      </c>
      <c r="I467" s="168" t="s">
        <v>1063</v>
      </c>
      <c r="J467" s="125" t="s">
        <v>770</v>
      </c>
    </row>
    <row r="468" spans="2:10" ht="12" x14ac:dyDescent="0.15">
      <c r="B468" s="121">
        <v>13</v>
      </c>
      <c r="C468" s="167" t="s">
        <v>70</v>
      </c>
      <c r="D468" s="168" t="s">
        <v>770</v>
      </c>
      <c r="E468" s="168" t="s">
        <v>770</v>
      </c>
      <c r="F468" s="169">
        <v>44460</v>
      </c>
      <c r="G468" s="122" t="s">
        <v>770</v>
      </c>
      <c r="H468" s="170">
        <v>1450000</v>
      </c>
      <c r="I468" s="168" t="s">
        <v>1063</v>
      </c>
      <c r="J468" s="125" t="s">
        <v>770</v>
      </c>
    </row>
    <row r="469" spans="2:10" ht="12" x14ac:dyDescent="0.15">
      <c r="B469" s="121">
        <v>13</v>
      </c>
      <c r="C469" s="167" t="s">
        <v>70</v>
      </c>
      <c r="D469" s="168" t="s">
        <v>770</v>
      </c>
      <c r="E469" s="168" t="s">
        <v>770</v>
      </c>
      <c r="F469" s="169">
        <v>44460</v>
      </c>
      <c r="G469" s="122" t="s">
        <v>770</v>
      </c>
      <c r="H469" s="170">
        <v>185000</v>
      </c>
      <c r="I469" s="168" t="s">
        <v>1063</v>
      </c>
      <c r="J469" s="125" t="s">
        <v>770</v>
      </c>
    </row>
    <row r="470" spans="2:10" ht="12" x14ac:dyDescent="0.15">
      <c r="B470" s="121">
        <v>13</v>
      </c>
      <c r="C470" s="167" t="s">
        <v>70</v>
      </c>
      <c r="D470" s="168" t="s">
        <v>770</v>
      </c>
      <c r="E470" s="168" t="s">
        <v>770</v>
      </c>
      <c r="F470" s="169">
        <v>44460</v>
      </c>
      <c r="G470" s="122" t="s">
        <v>770</v>
      </c>
      <c r="H470" s="170">
        <v>145000</v>
      </c>
      <c r="I470" s="168" t="s">
        <v>1063</v>
      </c>
      <c r="J470" s="125" t="s">
        <v>770</v>
      </c>
    </row>
    <row r="471" spans="2:10" ht="12" x14ac:dyDescent="0.15">
      <c r="B471" s="121">
        <v>13</v>
      </c>
      <c r="C471" s="167" t="s">
        <v>70</v>
      </c>
      <c r="D471" s="168" t="s">
        <v>770</v>
      </c>
      <c r="E471" s="168" t="s">
        <v>770</v>
      </c>
      <c r="F471" s="169">
        <v>44467</v>
      </c>
      <c r="G471" s="122" t="s">
        <v>770</v>
      </c>
      <c r="H471" s="170">
        <v>30801600</v>
      </c>
      <c r="I471" s="168" t="s">
        <v>1063</v>
      </c>
      <c r="J471" s="125" t="s">
        <v>770</v>
      </c>
    </row>
    <row r="472" spans="2:10" ht="12" x14ac:dyDescent="0.15">
      <c r="B472" s="121">
        <v>13</v>
      </c>
      <c r="C472" s="167" t="s">
        <v>70</v>
      </c>
      <c r="D472" s="168" t="s">
        <v>770</v>
      </c>
      <c r="E472" s="168" t="s">
        <v>770</v>
      </c>
      <c r="F472" s="169">
        <v>44467</v>
      </c>
      <c r="G472" s="122" t="s">
        <v>770</v>
      </c>
      <c r="H472" s="170">
        <v>33368400</v>
      </c>
      <c r="I472" s="168" t="s">
        <v>1063</v>
      </c>
      <c r="J472" s="125" t="s">
        <v>770</v>
      </c>
    </row>
    <row r="473" spans="2:10" ht="12" x14ac:dyDescent="0.15">
      <c r="B473" s="121">
        <v>13</v>
      </c>
      <c r="C473" s="167" t="s">
        <v>70</v>
      </c>
      <c r="D473" s="168" t="s">
        <v>770</v>
      </c>
      <c r="E473" s="168" t="s">
        <v>770</v>
      </c>
      <c r="F473" s="169">
        <v>44467</v>
      </c>
      <c r="G473" s="122" t="s">
        <v>770</v>
      </c>
      <c r="H473" s="170">
        <v>28129920</v>
      </c>
      <c r="I473" s="168" t="s">
        <v>1063</v>
      </c>
      <c r="J473" s="125" t="s">
        <v>770</v>
      </c>
    </row>
    <row r="474" spans="2:10" ht="12" x14ac:dyDescent="0.15">
      <c r="B474" s="121">
        <v>13</v>
      </c>
      <c r="C474" s="167" t="s">
        <v>70</v>
      </c>
      <c r="D474" s="168" t="s">
        <v>770</v>
      </c>
      <c r="E474" s="168" t="s">
        <v>770</v>
      </c>
      <c r="F474" s="169">
        <v>44467</v>
      </c>
      <c r="G474" s="122" t="s">
        <v>770</v>
      </c>
      <c r="H474" s="170">
        <v>3450000</v>
      </c>
      <c r="I474" s="168" t="s">
        <v>1063</v>
      </c>
      <c r="J474" s="125" t="s">
        <v>770</v>
      </c>
    </row>
    <row r="475" spans="2:10" ht="12" x14ac:dyDescent="0.15">
      <c r="B475" s="121">
        <v>13</v>
      </c>
      <c r="C475" s="167" t="s">
        <v>70</v>
      </c>
      <c r="D475" s="168" t="s">
        <v>770</v>
      </c>
      <c r="E475" s="168" t="s">
        <v>770</v>
      </c>
      <c r="F475" s="169">
        <v>44467</v>
      </c>
      <c r="G475" s="122" t="s">
        <v>770</v>
      </c>
      <c r="H475" s="170">
        <v>1065000</v>
      </c>
      <c r="I475" s="168" t="s">
        <v>1063</v>
      </c>
      <c r="J475" s="125" t="s">
        <v>770</v>
      </c>
    </row>
    <row r="476" spans="2:10" ht="12" x14ac:dyDescent="0.15">
      <c r="B476" s="121">
        <v>13</v>
      </c>
      <c r="C476" s="167" t="s">
        <v>70</v>
      </c>
      <c r="D476" s="168" t="s">
        <v>770</v>
      </c>
      <c r="E476" s="168" t="s">
        <v>770</v>
      </c>
      <c r="F476" s="169">
        <v>44467</v>
      </c>
      <c r="G476" s="122" t="s">
        <v>770</v>
      </c>
      <c r="H476" s="170">
        <v>600000</v>
      </c>
      <c r="I476" s="168" t="s">
        <v>1063</v>
      </c>
      <c r="J476" s="125" t="s">
        <v>770</v>
      </c>
    </row>
    <row r="477" spans="2:10" ht="12" x14ac:dyDescent="0.15">
      <c r="B477" s="121">
        <v>13</v>
      </c>
      <c r="C477" s="167" t="s">
        <v>70</v>
      </c>
      <c r="D477" s="168" t="s">
        <v>770</v>
      </c>
      <c r="E477" s="168" t="s">
        <v>770</v>
      </c>
      <c r="F477" s="169">
        <v>44467</v>
      </c>
      <c r="G477" s="122" t="s">
        <v>770</v>
      </c>
      <c r="H477" s="170">
        <v>6279000</v>
      </c>
      <c r="I477" s="168" t="s">
        <v>1063</v>
      </c>
      <c r="J477" s="125" t="s">
        <v>770</v>
      </c>
    </row>
    <row r="478" spans="2:10" ht="12" x14ac:dyDescent="0.15">
      <c r="B478" s="121">
        <v>13</v>
      </c>
      <c r="C478" s="167" t="s">
        <v>70</v>
      </c>
      <c r="D478" s="168" t="s">
        <v>1099</v>
      </c>
      <c r="E478" s="168" t="s">
        <v>770</v>
      </c>
      <c r="F478" s="169">
        <v>44464</v>
      </c>
      <c r="G478" s="122" t="s">
        <v>770</v>
      </c>
      <c r="H478" s="170">
        <v>436290700</v>
      </c>
      <c r="I478" s="168" t="s">
        <v>1063</v>
      </c>
      <c r="J478" s="125" t="s">
        <v>770</v>
      </c>
    </row>
    <row r="479" spans="2:10" ht="12" x14ac:dyDescent="0.15">
      <c r="B479" s="121">
        <v>13</v>
      </c>
      <c r="C479" s="167" t="s">
        <v>70</v>
      </c>
      <c r="D479" s="168" t="s">
        <v>1129</v>
      </c>
      <c r="E479" s="168" t="s">
        <v>770</v>
      </c>
      <c r="F479" s="169">
        <v>44440</v>
      </c>
      <c r="G479" s="122" t="s">
        <v>770</v>
      </c>
      <c r="H479" s="170">
        <v>174285999</v>
      </c>
      <c r="I479" s="168" t="s">
        <v>1063</v>
      </c>
      <c r="J479" s="125" t="s">
        <v>770</v>
      </c>
    </row>
    <row r="480" spans="2:10" ht="12" x14ac:dyDescent="0.15">
      <c r="B480" s="121">
        <v>13</v>
      </c>
      <c r="C480" s="167" t="s">
        <v>70</v>
      </c>
      <c r="D480" s="168" t="s">
        <v>1130</v>
      </c>
      <c r="E480" s="168" t="s">
        <v>770</v>
      </c>
      <c r="F480" s="169">
        <v>44440</v>
      </c>
      <c r="G480" s="122" t="s">
        <v>770</v>
      </c>
      <c r="H480" s="170">
        <v>263369980</v>
      </c>
      <c r="I480" s="168" t="s">
        <v>1063</v>
      </c>
      <c r="J480" s="125" t="s">
        <v>770</v>
      </c>
    </row>
    <row r="481" spans="2:10" ht="12" x14ac:dyDescent="0.15">
      <c r="B481" s="121">
        <v>13</v>
      </c>
      <c r="C481" s="167" t="s">
        <v>70</v>
      </c>
      <c r="D481" s="168" t="s">
        <v>1125</v>
      </c>
      <c r="E481" s="168" t="s">
        <v>770</v>
      </c>
      <c r="F481" s="169">
        <v>44469</v>
      </c>
      <c r="G481" s="122" t="s">
        <v>770</v>
      </c>
      <c r="H481" s="170">
        <v>-263369980</v>
      </c>
      <c r="I481" s="168" t="s">
        <v>1063</v>
      </c>
      <c r="J481" s="125" t="s">
        <v>770</v>
      </c>
    </row>
    <row r="482" spans="2:10" ht="12" x14ac:dyDescent="0.15">
      <c r="B482" s="121">
        <v>13</v>
      </c>
      <c r="C482" s="167" t="s">
        <v>70</v>
      </c>
      <c r="D482" s="168" t="s">
        <v>1131</v>
      </c>
      <c r="E482" s="168" t="s">
        <v>770</v>
      </c>
      <c r="F482" s="169">
        <v>44469</v>
      </c>
      <c r="G482" s="122" t="s">
        <v>770</v>
      </c>
      <c r="H482" s="170">
        <v>182580000</v>
      </c>
      <c r="I482" s="168" t="s">
        <v>1063</v>
      </c>
      <c r="J482" s="125" t="s">
        <v>770</v>
      </c>
    </row>
    <row r="483" spans="2:10" ht="12" x14ac:dyDescent="0.15">
      <c r="B483" s="121">
        <v>13</v>
      </c>
      <c r="C483" s="167" t="s">
        <v>70</v>
      </c>
      <c r="D483" s="168" t="s">
        <v>1086</v>
      </c>
      <c r="E483" s="168" t="s">
        <v>770</v>
      </c>
      <c r="F483" s="169">
        <v>44497</v>
      </c>
      <c r="G483" s="122" t="s">
        <v>770</v>
      </c>
      <c r="H483" s="170">
        <v>93814088</v>
      </c>
      <c r="I483" s="168" t="s">
        <v>1063</v>
      </c>
      <c r="J483" s="125" t="s">
        <v>770</v>
      </c>
    </row>
    <row r="484" spans="2:10" ht="12" x14ac:dyDescent="0.15">
      <c r="B484" s="121">
        <v>13</v>
      </c>
      <c r="C484" s="167" t="s">
        <v>70</v>
      </c>
      <c r="D484" s="168" t="s">
        <v>1132</v>
      </c>
      <c r="E484" s="168" t="s">
        <v>770</v>
      </c>
      <c r="F484" s="169">
        <v>44500</v>
      </c>
      <c r="G484" s="122" t="s">
        <v>770</v>
      </c>
      <c r="H484" s="170">
        <v>549845509</v>
      </c>
      <c r="I484" s="168" t="s">
        <v>1063</v>
      </c>
      <c r="J484" s="125" t="s">
        <v>770</v>
      </c>
    </row>
    <row r="485" spans="2:10" ht="12" x14ac:dyDescent="0.15">
      <c r="B485" s="121">
        <v>13</v>
      </c>
      <c r="C485" s="167" t="s">
        <v>70</v>
      </c>
      <c r="D485" s="168" t="s">
        <v>1133</v>
      </c>
      <c r="E485" s="168" t="s">
        <v>770</v>
      </c>
      <c r="F485" s="169">
        <v>44500</v>
      </c>
      <c r="G485" s="122" t="s">
        <v>770</v>
      </c>
      <c r="H485" s="170">
        <v>58150000</v>
      </c>
      <c r="I485" s="168" t="s">
        <v>1063</v>
      </c>
      <c r="J485" s="125" t="s">
        <v>770</v>
      </c>
    </row>
    <row r="486" spans="2:10" ht="12" x14ac:dyDescent="0.15">
      <c r="B486" s="121">
        <v>13</v>
      </c>
      <c r="C486" s="167" t="s">
        <v>70</v>
      </c>
      <c r="D486" s="168" t="s">
        <v>1134</v>
      </c>
      <c r="E486" s="168" t="s">
        <v>770</v>
      </c>
      <c r="F486" s="169">
        <v>44500</v>
      </c>
      <c r="G486" s="122" t="s">
        <v>770</v>
      </c>
      <c r="H486" s="170">
        <v>900000</v>
      </c>
      <c r="I486" s="168" t="s">
        <v>1063</v>
      </c>
      <c r="J486" s="125" t="s">
        <v>770</v>
      </c>
    </row>
    <row r="487" spans="2:10" ht="12" x14ac:dyDescent="0.15">
      <c r="B487" s="121">
        <v>13</v>
      </c>
      <c r="C487" s="167" t="s">
        <v>70</v>
      </c>
      <c r="D487" s="168" t="s">
        <v>1135</v>
      </c>
      <c r="E487" s="168" t="s">
        <v>770</v>
      </c>
      <c r="F487" s="169">
        <v>44500</v>
      </c>
      <c r="G487" s="122" t="s">
        <v>770</v>
      </c>
      <c r="H487" s="170">
        <v>73568179</v>
      </c>
      <c r="I487" s="168" t="s">
        <v>1063</v>
      </c>
      <c r="J487" s="125" t="s">
        <v>770</v>
      </c>
    </row>
    <row r="488" spans="2:10" ht="12" x14ac:dyDescent="0.15">
      <c r="B488" s="121">
        <v>13</v>
      </c>
      <c r="C488" s="167" t="s">
        <v>70</v>
      </c>
      <c r="D488" s="168" t="s">
        <v>1136</v>
      </c>
      <c r="E488" s="168" t="s">
        <v>770</v>
      </c>
      <c r="F488" s="169">
        <v>44515</v>
      </c>
      <c r="G488" s="122" t="s">
        <v>770</v>
      </c>
      <c r="H488" s="170">
        <v>4471200</v>
      </c>
      <c r="I488" s="168" t="s">
        <v>1063</v>
      </c>
      <c r="J488" s="125" t="s">
        <v>770</v>
      </c>
    </row>
    <row r="489" spans="2:10" ht="12" x14ac:dyDescent="0.15">
      <c r="B489" s="121">
        <v>13</v>
      </c>
      <c r="C489" s="167" t="s">
        <v>70</v>
      </c>
      <c r="D489" s="168" t="s">
        <v>1137</v>
      </c>
      <c r="E489" s="168" t="s">
        <v>770</v>
      </c>
      <c r="F489" s="169">
        <v>44526</v>
      </c>
      <c r="G489" s="122" t="s">
        <v>770</v>
      </c>
      <c r="H489" s="170">
        <v>14400000</v>
      </c>
      <c r="I489" s="168" t="s">
        <v>1063</v>
      </c>
      <c r="J489" s="125" t="s">
        <v>770</v>
      </c>
    </row>
    <row r="490" spans="2:10" ht="12" x14ac:dyDescent="0.15">
      <c r="B490" s="121">
        <v>13</v>
      </c>
      <c r="C490" s="167" t="s">
        <v>70</v>
      </c>
      <c r="D490" s="168" t="s">
        <v>1138</v>
      </c>
      <c r="E490" s="168" t="s">
        <v>770</v>
      </c>
      <c r="F490" s="169">
        <v>44526</v>
      </c>
      <c r="G490" s="122" t="s">
        <v>770</v>
      </c>
      <c r="H490" s="170">
        <v>13868400</v>
      </c>
      <c r="I490" s="168" t="s">
        <v>1063</v>
      </c>
      <c r="J490" s="125" t="s">
        <v>770</v>
      </c>
    </row>
    <row r="491" spans="2:10" ht="12" x14ac:dyDescent="0.15">
      <c r="B491" s="121">
        <v>13</v>
      </c>
      <c r="C491" s="167" t="s">
        <v>70</v>
      </c>
      <c r="D491" s="168" t="s">
        <v>1138</v>
      </c>
      <c r="E491" s="168" t="s">
        <v>770</v>
      </c>
      <c r="F491" s="169">
        <v>44526</v>
      </c>
      <c r="G491" s="122" t="s">
        <v>770</v>
      </c>
      <c r="H491" s="170">
        <v>330200</v>
      </c>
      <c r="I491" s="168" t="s">
        <v>1063</v>
      </c>
      <c r="J491" s="125" t="s">
        <v>770</v>
      </c>
    </row>
    <row r="492" spans="2:10" ht="12" x14ac:dyDescent="0.15">
      <c r="B492" s="121">
        <v>13</v>
      </c>
      <c r="C492" s="167" t="s">
        <v>70</v>
      </c>
      <c r="D492" s="168" t="s">
        <v>1139</v>
      </c>
      <c r="E492" s="168" t="s">
        <v>770</v>
      </c>
      <c r="F492" s="169">
        <v>44529</v>
      </c>
      <c r="G492" s="122" t="s">
        <v>770</v>
      </c>
      <c r="H492" s="170">
        <v>938402556</v>
      </c>
      <c r="I492" s="168" t="s">
        <v>1063</v>
      </c>
      <c r="J492" s="125" t="s">
        <v>770</v>
      </c>
    </row>
    <row r="493" spans="2:10" ht="12" x14ac:dyDescent="0.15">
      <c r="B493" s="121">
        <v>13</v>
      </c>
      <c r="C493" s="167" t="s">
        <v>70</v>
      </c>
      <c r="D493" s="168" t="s">
        <v>1140</v>
      </c>
      <c r="E493" s="168" t="s">
        <v>770</v>
      </c>
      <c r="F493" s="169">
        <v>44544</v>
      </c>
      <c r="G493" s="122" t="s">
        <v>770</v>
      </c>
      <c r="H493" s="170">
        <v>73568179</v>
      </c>
      <c r="I493" s="168" t="s">
        <v>1063</v>
      </c>
      <c r="J493" s="125" t="s">
        <v>770</v>
      </c>
    </row>
    <row r="494" spans="2:10" ht="12" x14ac:dyDescent="0.15">
      <c r="B494" s="121">
        <v>13</v>
      </c>
      <c r="C494" s="167" t="s">
        <v>70</v>
      </c>
      <c r="D494" s="168" t="s">
        <v>1141</v>
      </c>
      <c r="E494" s="168" t="s">
        <v>770</v>
      </c>
      <c r="F494" s="169">
        <v>44544</v>
      </c>
      <c r="G494" s="122" t="s">
        <v>770</v>
      </c>
      <c r="H494" s="170">
        <v>14960000</v>
      </c>
      <c r="I494" s="168" t="s">
        <v>1063</v>
      </c>
      <c r="J494" s="125" t="s">
        <v>770</v>
      </c>
    </row>
    <row r="495" spans="2:10" ht="12" x14ac:dyDescent="0.15">
      <c r="B495" s="121">
        <v>13</v>
      </c>
      <c r="C495" s="167" t="s">
        <v>70</v>
      </c>
      <c r="D495" s="168" t="s">
        <v>1142</v>
      </c>
      <c r="E495" s="168" t="s">
        <v>770</v>
      </c>
      <c r="F495" s="169">
        <v>44544</v>
      </c>
      <c r="G495" s="122" t="s">
        <v>770</v>
      </c>
      <c r="H495" s="170">
        <v>60000000</v>
      </c>
      <c r="I495" s="168" t="s">
        <v>1063</v>
      </c>
      <c r="J495" s="125" t="s">
        <v>770</v>
      </c>
    </row>
    <row r="496" spans="2:10" ht="12" x14ac:dyDescent="0.15">
      <c r="B496" s="121">
        <v>13</v>
      </c>
      <c r="C496" s="167" t="s">
        <v>70</v>
      </c>
      <c r="D496" s="168" t="s">
        <v>770</v>
      </c>
      <c r="E496" s="168" t="s">
        <v>770</v>
      </c>
      <c r="F496" s="169">
        <v>44546</v>
      </c>
      <c r="G496" s="122" t="s">
        <v>770</v>
      </c>
      <c r="H496" s="170">
        <v>-56907482</v>
      </c>
      <c r="I496" s="168" t="s">
        <v>1063</v>
      </c>
      <c r="J496" s="125" t="s">
        <v>770</v>
      </c>
    </row>
    <row r="497" spans="2:10" ht="12" x14ac:dyDescent="0.15">
      <c r="B497" s="121">
        <v>13</v>
      </c>
      <c r="C497" s="167" t="s">
        <v>70</v>
      </c>
      <c r="D497" s="168" t="s">
        <v>770</v>
      </c>
      <c r="E497" s="168" t="s">
        <v>770</v>
      </c>
      <c r="F497" s="169">
        <v>44559</v>
      </c>
      <c r="G497" s="122" t="s">
        <v>770</v>
      </c>
      <c r="H497" s="170">
        <v>110000</v>
      </c>
      <c r="I497" s="168" t="s">
        <v>1063</v>
      </c>
      <c r="J497" s="125" t="s">
        <v>770</v>
      </c>
    </row>
    <row r="498" spans="2:10" ht="12" x14ac:dyDescent="0.15">
      <c r="B498" s="121">
        <v>13</v>
      </c>
      <c r="C498" s="167" t="s">
        <v>70</v>
      </c>
      <c r="D498" s="168" t="s">
        <v>770</v>
      </c>
      <c r="E498" s="168" t="s">
        <v>770</v>
      </c>
      <c r="F498" s="169">
        <v>44559</v>
      </c>
      <c r="G498" s="122" t="s">
        <v>770</v>
      </c>
      <c r="H498" s="170">
        <v>130000</v>
      </c>
      <c r="I498" s="168" t="s">
        <v>1063</v>
      </c>
      <c r="J498" s="125" t="s">
        <v>770</v>
      </c>
    </row>
    <row r="499" spans="2:10" ht="12" x14ac:dyDescent="0.15">
      <c r="B499" s="121">
        <v>13</v>
      </c>
      <c r="C499" s="167" t="s">
        <v>70</v>
      </c>
      <c r="D499" s="168" t="s">
        <v>770</v>
      </c>
      <c r="E499" s="168" t="s">
        <v>770</v>
      </c>
      <c r="F499" s="169">
        <v>44559</v>
      </c>
      <c r="G499" s="122" t="s">
        <v>770</v>
      </c>
      <c r="H499" s="170">
        <v>700000</v>
      </c>
      <c r="I499" s="168" t="s">
        <v>1063</v>
      </c>
      <c r="J499" s="125" t="s">
        <v>770</v>
      </c>
    </row>
    <row r="500" spans="2:10" ht="12" x14ac:dyDescent="0.15">
      <c r="B500" s="121">
        <v>13</v>
      </c>
      <c r="C500" s="167" t="s">
        <v>70</v>
      </c>
      <c r="D500" s="168" t="s">
        <v>770</v>
      </c>
      <c r="E500" s="168" t="s">
        <v>770</v>
      </c>
      <c r="F500" s="169">
        <v>44559</v>
      </c>
      <c r="G500" s="122" t="s">
        <v>770</v>
      </c>
      <c r="H500" s="170">
        <v>400000</v>
      </c>
      <c r="I500" s="168" t="s">
        <v>1063</v>
      </c>
      <c r="J500" s="125" t="s">
        <v>770</v>
      </c>
    </row>
    <row r="501" spans="2:10" ht="12" x14ac:dyDescent="0.15">
      <c r="B501" s="121">
        <v>13</v>
      </c>
      <c r="C501" s="167" t="s">
        <v>70</v>
      </c>
      <c r="D501" s="168" t="s">
        <v>770</v>
      </c>
      <c r="E501" s="168" t="s">
        <v>770</v>
      </c>
      <c r="F501" s="169">
        <v>44559</v>
      </c>
      <c r="G501" s="122" t="s">
        <v>770</v>
      </c>
      <c r="H501" s="170">
        <v>5400000</v>
      </c>
      <c r="I501" s="168" t="s">
        <v>1063</v>
      </c>
      <c r="J501" s="125" t="s">
        <v>770</v>
      </c>
    </row>
    <row r="502" spans="2:10" ht="12" x14ac:dyDescent="0.15">
      <c r="B502" s="121">
        <v>13</v>
      </c>
      <c r="C502" s="167" t="s">
        <v>70</v>
      </c>
      <c r="D502" s="168" t="s">
        <v>770</v>
      </c>
      <c r="E502" s="168" t="s">
        <v>770</v>
      </c>
      <c r="F502" s="169">
        <v>44559</v>
      </c>
      <c r="G502" s="122" t="s">
        <v>770</v>
      </c>
      <c r="H502" s="170">
        <v>4500000</v>
      </c>
      <c r="I502" s="168" t="s">
        <v>1063</v>
      </c>
      <c r="J502" s="125" t="s">
        <v>770</v>
      </c>
    </row>
    <row r="503" spans="2:10" ht="12" x14ac:dyDescent="0.15">
      <c r="B503" s="121">
        <v>13</v>
      </c>
      <c r="C503" s="167" t="s">
        <v>70</v>
      </c>
      <c r="D503" s="168" t="s">
        <v>1143</v>
      </c>
      <c r="E503" s="168" t="s">
        <v>770</v>
      </c>
      <c r="F503" s="169">
        <v>44561</v>
      </c>
      <c r="G503" s="122" t="s">
        <v>770</v>
      </c>
      <c r="H503" s="170">
        <v>298379088</v>
      </c>
      <c r="I503" s="168" t="s">
        <v>1063</v>
      </c>
      <c r="J503" s="125" t="s">
        <v>770</v>
      </c>
    </row>
    <row r="504" spans="2:10" ht="12" x14ac:dyDescent="0.15">
      <c r="B504" s="121">
        <v>13</v>
      </c>
      <c r="C504" s="167" t="s">
        <v>70</v>
      </c>
      <c r="D504" s="168" t="s">
        <v>1143</v>
      </c>
      <c r="E504" s="168" t="s">
        <v>770</v>
      </c>
      <c r="F504" s="169">
        <v>44561</v>
      </c>
      <c r="G504" s="122" t="s">
        <v>770</v>
      </c>
      <c r="H504" s="170">
        <v>29837909</v>
      </c>
      <c r="I504" s="168" t="s">
        <v>1063</v>
      </c>
      <c r="J504" s="125" t="s">
        <v>770</v>
      </c>
    </row>
    <row r="505" spans="2:10" ht="12" x14ac:dyDescent="0.15">
      <c r="B505" s="121">
        <v>13</v>
      </c>
      <c r="C505" s="167" t="s">
        <v>70</v>
      </c>
      <c r="D505" s="168" t="s">
        <v>1143</v>
      </c>
      <c r="E505" s="168" t="s">
        <v>770</v>
      </c>
      <c r="F505" s="169">
        <v>44561</v>
      </c>
      <c r="G505" s="122" t="s">
        <v>770</v>
      </c>
      <c r="H505" s="170">
        <v>-29837909</v>
      </c>
      <c r="I505" s="168" t="s">
        <v>1063</v>
      </c>
      <c r="J505" s="125" t="s">
        <v>770</v>
      </c>
    </row>
    <row r="506" spans="2:10" ht="12" x14ac:dyDescent="0.15">
      <c r="B506" s="121">
        <v>13</v>
      </c>
      <c r="C506" s="167" t="s">
        <v>70</v>
      </c>
      <c r="D506" s="168" t="s">
        <v>1144</v>
      </c>
      <c r="E506" s="168" t="s">
        <v>770</v>
      </c>
      <c r="F506" s="169">
        <v>44560</v>
      </c>
      <c r="G506" s="122" t="s">
        <v>770</v>
      </c>
      <c r="H506" s="170">
        <v>97000000</v>
      </c>
      <c r="I506" s="168" t="s">
        <v>1063</v>
      </c>
      <c r="J506" s="125" t="s">
        <v>770</v>
      </c>
    </row>
    <row r="507" spans="2:10" ht="12" x14ac:dyDescent="0.15">
      <c r="B507" s="121">
        <v>13</v>
      </c>
      <c r="C507" s="167" t="s">
        <v>70</v>
      </c>
      <c r="D507" s="168" t="s">
        <v>1145</v>
      </c>
      <c r="E507" s="168" t="s">
        <v>770</v>
      </c>
      <c r="F507" s="169">
        <v>44561</v>
      </c>
      <c r="G507" s="122" t="s">
        <v>770</v>
      </c>
      <c r="H507" s="170">
        <v>65181407</v>
      </c>
      <c r="I507" s="168" t="s">
        <v>1063</v>
      </c>
      <c r="J507" s="125" t="s">
        <v>770</v>
      </c>
    </row>
    <row r="508" spans="2:10" ht="12" x14ac:dyDescent="0.15">
      <c r="B508" s="121">
        <v>13</v>
      </c>
      <c r="C508" s="167" t="s">
        <v>70</v>
      </c>
      <c r="D508" s="168" t="s">
        <v>1146</v>
      </c>
      <c r="E508" s="168" t="s">
        <v>770</v>
      </c>
      <c r="F508" s="169">
        <v>44561</v>
      </c>
      <c r="G508" s="122" t="s">
        <v>770</v>
      </c>
      <c r="H508" s="170">
        <v>298379088</v>
      </c>
      <c r="I508" s="168" t="s">
        <v>1063</v>
      </c>
      <c r="J508" s="125" t="s">
        <v>770</v>
      </c>
    </row>
    <row r="509" spans="2:10" ht="12" x14ac:dyDescent="0.15">
      <c r="B509" s="121">
        <v>13</v>
      </c>
      <c r="C509" s="167" t="s">
        <v>70</v>
      </c>
      <c r="D509" s="168" t="s">
        <v>1143</v>
      </c>
      <c r="E509" s="168" t="s">
        <v>770</v>
      </c>
      <c r="F509" s="169">
        <v>44561</v>
      </c>
      <c r="G509" s="122" t="s">
        <v>770</v>
      </c>
      <c r="H509" s="170">
        <v>-298379088</v>
      </c>
      <c r="I509" s="168" t="s">
        <v>1063</v>
      </c>
      <c r="J509" s="125" t="s">
        <v>770</v>
      </c>
    </row>
    <row r="510" spans="2:10" ht="12" x14ac:dyDescent="0.15">
      <c r="B510" s="121">
        <v>13</v>
      </c>
      <c r="C510" s="167" t="s">
        <v>70</v>
      </c>
      <c r="D510" s="168" t="s">
        <v>1143</v>
      </c>
      <c r="E510" s="168" t="s">
        <v>770</v>
      </c>
      <c r="F510" s="169">
        <v>44561</v>
      </c>
      <c r="G510" s="122" t="s">
        <v>770</v>
      </c>
      <c r="H510" s="170">
        <v>-29837909</v>
      </c>
      <c r="I510" s="168" t="s">
        <v>1063</v>
      </c>
      <c r="J510" s="125" t="s">
        <v>770</v>
      </c>
    </row>
    <row r="511" spans="2:10" ht="12" x14ac:dyDescent="0.15">
      <c r="B511" s="121">
        <v>13</v>
      </c>
      <c r="C511" s="167" t="s">
        <v>70</v>
      </c>
      <c r="D511" s="168" t="s">
        <v>1143</v>
      </c>
      <c r="E511" s="168" t="s">
        <v>770</v>
      </c>
      <c r="F511" s="169">
        <v>44561</v>
      </c>
      <c r="G511" s="122" t="s">
        <v>770</v>
      </c>
      <c r="H511" s="170">
        <v>29837909</v>
      </c>
      <c r="I511" s="168" t="s">
        <v>1063</v>
      </c>
      <c r="J511" s="125" t="s">
        <v>770</v>
      </c>
    </row>
    <row r="512" spans="2:10" ht="12" x14ac:dyDescent="0.15">
      <c r="B512" s="121">
        <v>13</v>
      </c>
      <c r="C512" s="167" t="s">
        <v>70</v>
      </c>
      <c r="D512" s="168" t="s">
        <v>1145</v>
      </c>
      <c r="E512" s="168" t="s">
        <v>770</v>
      </c>
      <c r="F512" s="169">
        <v>44561</v>
      </c>
      <c r="G512" s="122" t="s">
        <v>770</v>
      </c>
      <c r="H512" s="170">
        <v>522</v>
      </c>
      <c r="I512" s="168" t="s">
        <v>1063</v>
      </c>
      <c r="J512" s="125" t="s">
        <v>770</v>
      </c>
    </row>
    <row r="513" spans="2:13" ht="12" x14ac:dyDescent="0.15">
      <c r="B513" s="121">
        <v>13</v>
      </c>
      <c r="C513" s="167" t="s">
        <v>70</v>
      </c>
      <c r="D513" s="168" t="s">
        <v>1147</v>
      </c>
      <c r="E513" s="168" t="s">
        <v>770</v>
      </c>
      <c r="F513" s="169">
        <v>44561</v>
      </c>
      <c r="G513" s="122" t="s">
        <v>770</v>
      </c>
      <c r="H513" s="170">
        <v>90240000</v>
      </c>
      <c r="I513" s="168" t="s">
        <v>1063</v>
      </c>
      <c r="J513" s="125" t="s">
        <v>770</v>
      </c>
    </row>
    <row r="514" spans="2:13" ht="12" x14ac:dyDescent="0.15">
      <c r="B514" s="121">
        <v>13</v>
      </c>
      <c r="C514" s="167" t="s">
        <v>70</v>
      </c>
      <c r="D514" s="168" t="s">
        <v>1148</v>
      </c>
      <c r="E514" s="168" t="s">
        <v>770</v>
      </c>
      <c r="F514" s="169">
        <v>44561</v>
      </c>
      <c r="G514" s="122" t="s">
        <v>770</v>
      </c>
      <c r="H514" s="170">
        <v>283200000</v>
      </c>
      <c r="I514" s="168" t="s">
        <v>1063</v>
      </c>
      <c r="J514" s="125" t="s">
        <v>770</v>
      </c>
    </row>
    <row r="515" spans="2:13" ht="12" x14ac:dyDescent="0.15">
      <c r="B515" s="121">
        <v>13</v>
      </c>
      <c r="C515" s="167" t="s">
        <v>70</v>
      </c>
      <c r="D515" s="168" t="s">
        <v>1149</v>
      </c>
      <c r="E515" s="168" t="s">
        <v>770</v>
      </c>
      <c r="F515" s="169">
        <v>44561</v>
      </c>
      <c r="G515" s="122" t="s">
        <v>770</v>
      </c>
      <c r="H515" s="170">
        <v>133831250</v>
      </c>
      <c r="I515" s="168" t="s">
        <v>1063</v>
      </c>
      <c r="J515" s="125" t="s">
        <v>770</v>
      </c>
    </row>
    <row r="516" spans="2:13" ht="12" x14ac:dyDescent="0.15">
      <c r="B516" s="121">
        <v>13</v>
      </c>
      <c r="C516" s="167" t="s">
        <v>70</v>
      </c>
      <c r="D516" s="168" t="s">
        <v>1150</v>
      </c>
      <c r="E516" s="168" t="s">
        <v>770</v>
      </c>
      <c r="F516" s="169">
        <v>44561</v>
      </c>
      <c r="G516" s="122" t="s">
        <v>770</v>
      </c>
      <c r="H516" s="170">
        <v>364449181</v>
      </c>
      <c r="I516" s="168" t="s">
        <v>1063</v>
      </c>
      <c r="J516" s="125" t="s">
        <v>770</v>
      </c>
    </row>
    <row r="517" spans="2:13" ht="12" x14ac:dyDescent="0.15">
      <c r="B517" s="121">
        <v>13</v>
      </c>
      <c r="C517" s="167" t="s">
        <v>70</v>
      </c>
      <c r="D517" s="168"/>
      <c r="E517" s="168" t="s">
        <v>770</v>
      </c>
      <c r="F517" s="169" t="s">
        <v>770</v>
      </c>
      <c r="G517" s="122" t="s">
        <v>770</v>
      </c>
      <c r="H517" s="170">
        <v>38169607.713</v>
      </c>
      <c r="I517" s="168" t="s">
        <v>1063</v>
      </c>
      <c r="J517" s="125" t="s">
        <v>770</v>
      </c>
      <c r="L517" s="4" t="s">
        <v>1151</v>
      </c>
      <c r="M517" s="77"/>
    </row>
    <row r="518" spans="2:13" ht="12" x14ac:dyDescent="0.15">
      <c r="B518" s="121">
        <v>13</v>
      </c>
      <c r="C518" s="167" t="s">
        <v>70</v>
      </c>
      <c r="D518" s="168"/>
      <c r="E518" s="168" t="s">
        <v>770</v>
      </c>
      <c r="F518" s="169" t="s">
        <v>770</v>
      </c>
      <c r="G518" s="122" t="s">
        <v>770</v>
      </c>
      <c r="H518" s="170">
        <v>19084852.072000001</v>
      </c>
      <c r="I518" s="168" t="s">
        <v>1063</v>
      </c>
      <c r="J518" s="125" t="s">
        <v>770</v>
      </c>
      <c r="L518" s="4" t="s">
        <v>1151</v>
      </c>
      <c r="M518" s="77"/>
    </row>
    <row r="519" spans="2:13" ht="12" x14ac:dyDescent="0.15">
      <c r="B519" s="121">
        <v>13</v>
      </c>
      <c r="C519" s="167" t="s">
        <v>70</v>
      </c>
      <c r="D519" s="168"/>
      <c r="E519" s="168" t="s">
        <v>770</v>
      </c>
      <c r="F519" s="169" t="s">
        <v>770</v>
      </c>
      <c r="G519" s="122" t="s">
        <v>770</v>
      </c>
      <c r="H519" s="170">
        <v>5213445.5839999998</v>
      </c>
      <c r="I519" s="168" t="s">
        <v>1063</v>
      </c>
      <c r="J519" s="125" t="s">
        <v>770</v>
      </c>
      <c r="L519" s="4" t="s">
        <v>1151</v>
      </c>
      <c r="M519" s="77"/>
    </row>
    <row r="520" spans="2:13" ht="12" x14ac:dyDescent="0.15">
      <c r="B520" s="121">
        <v>13</v>
      </c>
      <c r="C520" s="167" t="s">
        <v>70</v>
      </c>
      <c r="D520" s="168"/>
      <c r="E520" s="168" t="s">
        <v>770</v>
      </c>
      <c r="F520" s="169" t="s">
        <v>770</v>
      </c>
      <c r="G520" s="122" t="s">
        <v>770</v>
      </c>
      <c r="H520" s="170">
        <v>294596.70500000002</v>
      </c>
      <c r="I520" s="168" t="s">
        <v>1063</v>
      </c>
      <c r="J520" s="125" t="s">
        <v>770</v>
      </c>
      <c r="L520" s="4" t="s">
        <v>1151</v>
      </c>
      <c r="M520" s="77"/>
    </row>
    <row r="521" spans="2:13" ht="12" x14ac:dyDescent="0.15">
      <c r="B521" s="121">
        <v>13</v>
      </c>
      <c r="C521" s="167" t="s">
        <v>70</v>
      </c>
      <c r="D521" s="168"/>
      <c r="E521" s="168" t="s">
        <v>770</v>
      </c>
      <c r="F521" s="169" t="s">
        <v>770</v>
      </c>
      <c r="G521" s="122" t="s">
        <v>770</v>
      </c>
      <c r="H521" s="170">
        <v>117549.389</v>
      </c>
      <c r="I521" s="168" t="s">
        <v>1063</v>
      </c>
      <c r="J521" s="125" t="s">
        <v>770</v>
      </c>
      <c r="L521" s="4" t="s">
        <v>1151</v>
      </c>
      <c r="M521" s="77"/>
    </row>
    <row r="522" spans="2:13" ht="12" x14ac:dyDescent="0.15">
      <c r="B522" s="121">
        <v>13</v>
      </c>
      <c r="C522" s="167" t="s">
        <v>70</v>
      </c>
      <c r="D522" s="168"/>
      <c r="E522" s="168" t="s">
        <v>770</v>
      </c>
      <c r="F522" s="169" t="s">
        <v>770</v>
      </c>
      <c r="G522" s="122" t="s">
        <v>770</v>
      </c>
      <c r="H522" s="170">
        <v>159593.30500000002</v>
      </c>
      <c r="I522" s="168" t="s">
        <v>1063</v>
      </c>
      <c r="J522" s="125" t="s">
        <v>770</v>
      </c>
      <c r="L522" s="4" t="s">
        <v>1151</v>
      </c>
      <c r="M522" s="77"/>
    </row>
    <row r="523" spans="2:13" ht="12" x14ac:dyDescent="0.15">
      <c r="B523" s="121">
        <v>13</v>
      </c>
      <c r="C523" s="167" t="s">
        <v>70</v>
      </c>
      <c r="D523" s="168"/>
      <c r="E523" s="168" t="s">
        <v>770</v>
      </c>
      <c r="F523" s="169" t="s">
        <v>770</v>
      </c>
      <c r="G523" s="122" t="s">
        <v>770</v>
      </c>
      <c r="H523" s="170">
        <v>639337.53</v>
      </c>
      <c r="I523" s="168" t="s">
        <v>1063</v>
      </c>
      <c r="J523" s="125" t="s">
        <v>770</v>
      </c>
      <c r="L523" s="4" t="s">
        <v>1151</v>
      </c>
      <c r="M523" s="77"/>
    </row>
    <row r="524" spans="2:13" ht="12" x14ac:dyDescent="0.15">
      <c r="B524" s="121">
        <v>13</v>
      </c>
      <c r="C524" s="167" t="s">
        <v>70</v>
      </c>
      <c r="D524" s="168"/>
      <c r="E524" s="168" t="s">
        <v>770</v>
      </c>
      <c r="F524" s="169" t="s">
        <v>770</v>
      </c>
      <c r="G524" s="122" t="s">
        <v>770</v>
      </c>
      <c r="H524" s="170">
        <v>391509.86000000004</v>
      </c>
      <c r="I524" s="168" t="s">
        <v>1063</v>
      </c>
      <c r="J524" s="125" t="s">
        <v>770</v>
      </c>
      <c r="L524" s="4" t="s">
        <v>1151</v>
      </c>
      <c r="M524" s="77"/>
    </row>
    <row r="525" spans="2:13" ht="12" x14ac:dyDescent="0.15">
      <c r="B525" s="121">
        <v>13</v>
      </c>
      <c r="C525" s="167" t="s">
        <v>70</v>
      </c>
      <c r="D525" s="168"/>
      <c r="E525" s="168" t="s">
        <v>770</v>
      </c>
      <c r="F525" s="169" t="s">
        <v>770</v>
      </c>
      <c r="G525" s="122" t="s">
        <v>770</v>
      </c>
      <c r="H525" s="170">
        <v>143489.32800000001</v>
      </c>
      <c r="I525" s="168" t="s">
        <v>1063</v>
      </c>
      <c r="J525" s="125" t="s">
        <v>770</v>
      </c>
      <c r="L525" s="4" t="s">
        <v>1151</v>
      </c>
      <c r="M525" s="77"/>
    </row>
    <row r="526" spans="2:13" ht="12" x14ac:dyDescent="0.15">
      <c r="B526" s="121">
        <v>13</v>
      </c>
      <c r="C526" s="167" t="s">
        <v>70</v>
      </c>
      <c r="D526" s="168"/>
      <c r="E526" s="168" t="s">
        <v>770</v>
      </c>
      <c r="F526" s="169" t="s">
        <v>770</v>
      </c>
      <c r="G526" s="122" t="s">
        <v>770</v>
      </c>
      <c r="H526" s="170">
        <v>1771630.3320000002</v>
      </c>
      <c r="I526" s="168" t="s">
        <v>1063</v>
      </c>
      <c r="J526" s="125" t="s">
        <v>770</v>
      </c>
      <c r="L526" s="4" t="s">
        <v>1151</v>
      </c>
      <c r="M526" s="77"/>
    </row>
    <row r="527" spans="2:13" ht="12" x14ac:dyDescent="0.15">
      <c r="B527" s="121">
        <v>13</v>
      </c>
      <c r="C527" s="167" t="s">
        <v>70</v>
      </c>
      <c r="D527" s="168"/>
      <c r="E527" s="168" t="s">
        <v>770</v>
      </c>
      <c r="F527" s="169" t="s">
        <v>770</v>
      </c>
      <c r="G527" s="122" t="s">
        <v>770</v>
      </c>
      <c r="H527" s="170">
        <v>259881.54500000001</v>
      </c>
      <c r="I527" s="168" t="s">
        <v>1063</v>
      </c>
      <c r="J527" s="125" t="s">
        <v>770</v>
      </c>
      <c r="L527" s="4" t="s">
        <v>1151</v>
      </c>
      <c r="M527" s="77"/>
    </row>
    <row r="528" spans="2:13" ht="12" x14ac:dyDescent="0.15">
      <c r="B528" s="121">
        <v>13</v>
      </c>
      <c r="C528" s="167" t="s">
        <v>70</v>
      </c>
      <c r="D528" s="168"/>
      <c r="E528" s="168" t="s">
        <v>770</v>
      </c>
      <c r="F528" s="169" t="s">
        <v>770</v>
      </c>
      <c r="G528" s="122" t="s">
        <v>770</v>
      </c>
      <c r="H528" s="170">
        <v>381577.467</v>
      </c>
      <c r="I528" s="168" t="s">
        <v>1063</v>
      </c>
      <c r="J528" s="125" t="s">
        <v>770</v>
      </c>
      <c r="L528" s="4" t="s">
        <v>1151</v>
      </c>
      <c r="M528" s="77"/>
    </row>
    <row r="529" spans="2:13" ht="12" x14ac:dyDescent="0.15">
      <c r="B529" s="121">
        <v>13</v>
      </c>
      <c r="C529" s="167" t="s">
        <v>70</v>
      </c>
      <c r="D529" s="168"/>
      <c r="E529" s="168" t="s">
        <v>770</v>
      </c>
      <c r="F529" s="169" t="s">
        <v>770</v>
      </c>
      <c r="G529" s="122" t="s">
        <v>770</v>
      </c>
      <c r="H529" s="170">
        <v>190740.51800000001</v>
      </c>
      <c r="I529" s="168" t="s">
        <v>1063</v>
      </c>
      <c r="J529" s="125" t="s">
        <v>770</v>
      </c>
      <c r="L529" s="4" t="s">
        <v>1151</v>
      </c>
      <c r="M529" s="77"/>
    </row>
    <row r="530" spans="2:13" ht="12" x14ac:dyDescent="0.15">
      <c r="B530" s="121">
        <v>13</v>
      </c>
      <c r="C530" s="167" t="s">
        <v>70</v>
      </c>
      <c r="D530" s="168"/>
      <c r="E530" s="168" t="s">
        <v>770</v>
      </c>
      <c r="F530" s="169" t="s">
        <v>770</v>
      </c>
      <c r="G530" s="122" t="s">
        <v>770</v>
      </c>
      <c r="H530" s="170">
        <v>52072.740000000005</v>
      </c>
      <c r="I530" s="168" t="s">
        <v>1063</v>
      </c>
      <c r="J530" s="125" t="s">
        <v>770</v>
      </c>
      <c r="L530" s="4" t="s">
        <v>1151</v>
      </c>
      <c r="M530" s="77"/>
    </row>
    <row r="531" spans="2:13" ht="12" x14ac:dyDescent="0.15">
      <c r="B531" s="121">
        <v>13</v>
      </c>
      <c r="C531" s="167" t="s">
        <v>70</v>
      </c>
      <c r="D531" s="168"/>
      <c r="E531" s="168" t="s">
        <v>770</v>
      </c>
      <c r="F531" s="169" t="s">
        <v>770</v>
      </c>
      <c r="G531" s="122" t="s">
        <v>770</v>
      </c>
      <c r="H531" s="170">
        <v>36161.625</v>
      </c>
      <c r="I531" s="168" t="s">
        <v>1063</v>
      </c>
      <c r="J531" s="125" t="s">
        <v>770</v>
      </c>
      <c r="L531" s="4" t="s">
        <v>1151</v>
      </c>
      <c r="M531" s="77"/>
    </row>
    <row r="532" spans="2:13" ht="12" x14ac:dyDescent="0.15">
      <c r="B532" s="121">
        <v>13</v>
      </c>
      <c r="C532" s="167" t="s">
        <v>70</v>
      </c>
      <c r="D532" s="168"/>
      <c r="E532" s="168" t="s">
        <v>770</v>
      </c>
      <c r="F532" s="169" t="s">
        <v>770</v>
      </c>
      <c r="G532" s="122" t="s">
        <v>770</v>
      </c>
      <c r="H532" s="170">
        <v>3108356.8539999998</v>
      </c>
      <c r="I532" s="168" t="s">
        <v>1063</v>
      </c>
      <c r="J532" s="125" t="s">
        <v>770</v>
      </c>
      <c r="L532" s="4" t="s">
        <v>1151</v>
      </c>
      <c r="M532" s="77"/>
    </row>
    <row r="533" spans="2:13" ht="12" x14ac:dyDescent="0.15">
      <c r="B533" s="121">
        <v>13</v>
      </c>
      <c r="C533" s="167" t="s">
        <v>70</v>
      </c>
      <c r="D533" s="168"/>
      <c r="E533" s="168" t="s">
        <v>770</v>
      </c>
      <c r="F533" s="169" t="s">
        <v>770</v>
      </c>
      <c r="G533" s="122" t="s">
        <v>770</v>
      </c>
      <c r="H533" s="170">
        <v>4124353.87</v>
      </c>
      <c r="I533" s="168" t="s">
        <v>1063</v>
      </c>
      <c r="J533" s="125" t="s">
        <v>770</v>
      </c>
      <c r="L533" s="4" t="s">
        <v>1151</v>
      </c>
      <c r="M533" s="77"/>
    </row>
    <row r="534" spans="2:13" ht="12" x14ac:dyDescent="0.15">
      <c r="B534" s="121">
        <v>13</v>
      </c>
      <c r="C534" s="167" t="s">
        <v>70</v>
      </c>
      <c r="D534" s="168"/>
      <c r="E534" s="168" t="s">
        <v>770</v>
      </c>
      <c r="F534" s="169" t="s">
        <v>770</v>
      </c>
      <c r="G534" s="122" t="s">
        <v>770</v>
      </c>
      <c r="H534" s="170">
        <v>237605.98400000003</v>
      </c>
      <c r="I534" s="168" t="s">
        <v>1063</v>
      </c>
      <c r="J534" s="125" t="s">
        <v>770</v>
      </c>
      <c r="L534" s="4" t="s">
        <v>1151</v>
      </c>
      <c r="M534" s="77"/>
    </row>
    <row r="535" spans="2:13" ht="12" x14ac:dyDescent="0.15">
      <c r="B535" s="121">
        <v>13</v>
      </c>
      <c r="C535" s="167" t="s">
        <v>70</v>
      </c>
      <c r="D535" s="168"/>
      <c r="E535" s="168" t="s">
        <v>770</v>
      </c>
      <c r="F535" s="169" t="s">
        <v>770</v>
      </c>
      <c r="G535" s="122" t="s">
        <v>770</v>
      </c>
      <c r="H535" s="170">
        <v>153903.87600000002</v>
      </c>
      <c r="I535" s="168" t="s">
        <v>1063</v>
      </c>
      <c r="J535" s="125" t="s">
        <v>770</v>
      </c>
      <c r="L535" s="4" t="s">
        <v>1151</v>
      </c>
      <c r="M535" s="77"/>
    </row>
    <row r="536" spans="2:13" ht="12" x14ac:dyDescent="0.15">
      <c r="B536" s="121">
        <v>13</v>
      </c>
      <c r="C536" s="167" t="s">
        <v>70</v>
      </c>
      <c r="D536" s="168"/>
      <c r="E536" s="168" t="s">
        <v>770</v>
      </c>
      <c r="F536" s="169" t="s">
        <v>770</v>
      </c>
      <c r="G536" s="122" t="s">
        <v>770</v>
      </c>
      <c r="H536" s="170">
        <v>35390.177000000003</v>
      </c>
      <c r="I536" s="168" t="s">
        <v>1063</v>
      </c>
      <c r="J536" s="125" t="s">
        <v>770</v>
      </c>
      <c r="L536" s="4" t="s">
        <v>1151</v>
      </c>
      <c r="M536" s="77"/>
    </row>
    <row r="537" spans="2:13" ht="12" x14ac:dyDescent="0.15">
      <c r="B537" s="121">
        <v>13</v>
      </c>
      <c r="C537" s="167" t="s">
        <v>70</v>
      </c>
      <c r="D537" s="168" t="s">
        <v>1152</v>
      </c>
      <c r="E537" s="168" t="s">
        <v>770</v>
      </c>
      <c r="F537" s="169" t="s">
        <v>770</v>
      </c>
      <c r="G537" s="122" t="s">
        <v>770</v>
      </c>
      <c r="H537" s="170">
        <v>235498388.06400001</v>
      </c>
      <c r="I537" s="168" t="s">
        <v>1063</v>
      </c>
      <c r="J537" s="125" t="s">
        <v>770</v>
      </c>
      <c r="L537" s="4" t="s">
        <v>1151</v>
      </c>
      <c r="M537" s="77"/>
    </row>
    <row r="538" spans="2:13" ht="12" x14ac:dyDescent="0.15">
      <c r="B538" s="121">
        <v>13</v>
      </c>
      <c r="C538" s="167" t="s">
        <v>70</v>
      </c>
      <c r="D538" s="168" t="s">
        <v>1086</v>
      </c>
      <c r="E538" s="168" t="s">
        <v>770</v>
      </c>
      <c r="F538" s="169" t="s">
        <v>770</v>
      </c>
      <c r="G538" s="122" t="s">
        <v>770</v>
      </c>
      <c r="H538" s="170">
        <v>1205387500</v>
      </c>
      <c r="I538" s="168" t="s">
        <v>1063</v>
      </c>
      <c r="J538" s="125" t="s">
        <v>770</v>
      </c>
      <c r="L538" s="4" t="s">
        <v>1151</v>
      </c>
      <c r="M538" s="77"/>
    </row>
    <row r="539" spans="2:13" ht="12" x14ac:dyDescent="0.15">
      <c r="B539" s="121">
        <v>13</v>
      </c>
      <c r="C539" s="167" t="s">
        <v>70</v>
      </c>
      <c r="D539" s="168" t="s">
        <v>1121</v>
      </c>
      <c r="E539" s="168" t="s">
        <v>770</v>
      </c>
      <c r="F539" s="169" t="s">
        <v>770</v>
      </c>
      <c r="G539" s="122" t="s">
        <v>770</v>
      </c>
      <c r="H539" s="170">
        <v>38572.400000000001</v>
      </c>
      <c r="I539" s="168" t="s">
        <v>1063</v>
      </c>
      <c r="J539" s="125" t="s">
        <v>770</v>
      </c>
      <c r="L539" s="4" t="s">
        <v>1151</v>
      </c>
      <c r="M539" s="77"/>
    </row>
    <row r="540" spans="2:13" ht="12" x14ac:dyDescent="0.15">
      <c r="B540" s="121">
        <v>13</v>
      </c>
      <c r="C540" s="167" t="s">
        <v>70</v>
      </c>
      <c r="D540" s="168" t="s">
        <v>1121</v>
      </c>
      <c r="E540" s="168" t="s">
        <v>770</v>
      </c>
      <c r="F540" s="169" t="s">
        <v>770</v>
      </c>
      <c r="G540" s="122" t="s">
        <v>770</v>
      </c>
      <c r="H540" s="170">
        <v>35679.47</v>
      </c>
      <c r="I540" s="168" t="s">
        <v>1063</v>
      </c>
      <c r="J540" s="125" t="s">
        <v>770</v>
      </c>
      <c r="L540" s="4" t="s">
        <v>1151</v>
      </c>
      <c r="M540" s="77"/>
    </row>
    <row r="541" spans="2:13" ht="12" x14ac:dyDescent="0.15">
      <c r="B541" s="121">
        <v>13</v>
      </c>
      <c r="C541" s="167" t="s">
        <v>70</v>
      </c>
      <c r="D541" s="168" t="s">
        <v>1121</v>
      </c>
      <c r="E541" s="168" t="s">
        <v>770</v>
      </c>
      <c r="F541" s="169" t="s">
        <v>770</v>
      </c>
      <c r="G541" s="122" t="s">
        <v>770</v>
      </c>
      <c r="H541" s="170">
        <v>45515.432000000001</v>
      </c>
      <c r="I541" s="168" t="s">
        <v>1063</v>
      </c>
      <c r="J541" s="125" t="s">
        <v>770</v>
      </c>
      <c r="L541" s="4" t="s">
        <v>1151</v>
      </c>
      <c r="M541" s="77"/>
    </row>
    <row r="542" spans="2:13" ht="12" x14ac:dyDescent="0.15">
      <c r="B542" s="121">
        <v>13</v>
      </c>
      <c r="C542" s="167" t="s">
        <v>70</v>
      </c>
      <c r="D542" s="168" t="s">
        <v>1121</v>
      </c>
      <c r="E542" s="168" t="s">
        <v>770</v>
      </c>
      <c r="F542" s="169" t="s">
        <v>770</v>
      </c>
      <c r="G542" s="122" t="s">
        <v>770</v>
      </c>
      <c r="H542" s="170">
        <v>385724</v>
      </c>
      <c r="I542" s="168" t="s">
        <v>1063</v>
      </c>
      <c r="J542" s="125" t="s">
        <v>770</v>
      </c>
      <c r="L542" s="4" t="s">
        <v>1151</v>
      </c>
      <c r="M542" s="77"/>
    </row>
    <row r="543" spans="2:13" ht="12" x14ac:dyDescent="0.15">
      <c r="B543" s="121">
        <v>13</v>
      </c>
      <c r="C543" s="167" t="s">
        <v>70</v>
      </c>
      <c r="D543" s="168" t="s">
        <v>1121</v>
      </c>
      <c r="E543" s="168" t="s">
        <v>770</v>
      </c>
      <c r="F543" s="169" t="s">
        <v>770</v>
      </c>
      <c r="G543" s="122" t="s">
        <v>770</v>
      </c>
      <c r="H543" s="170">
        <v>332686.95</v>
      </c>
      <c r="I543" s="168" t="s">
        <v>1063</v>
      </c>
      <c r="J543" s="125" t="s">
        <v>770</v>
      </c>
      <c r="L543" s="4" t="s">
        <v>1151</v>
      </c>
      <c r="M543" s="77"/>
    </row>
    <row r="544" spans="2:13" ht="12" x14ac:dyDescent="0.15">
      <c r="B544" s="121">
        <v>13</v>
      </c>
      <c r="C544" s="167" t="s">
        <v>70</v>
      </c>
      <c r="D544" s="168" t="s">
        <v>1086</v>
      </c>
      <c r="E544" s="168" t="s">
        <v>770</v>
      </c>
      <c r="F544" s="169" t="s">
        <v>770</v>
      </c>
      <c r="G544" s="122" t="s">
        <v>770</v>
      </c>
      <c r="H544" s="170">
        <v>1205387500</v>
      </c>
      <c r="I544" s="168" t="s">
        <v>1063</v>
      </c>
      <c r="J544" s="125" t="s">
        <v>770</v>
      </c>
      <c r="L544" s="4" t="s">
        <v>1151</v>
      </c>
      <c r="M544" s="77"/>
    </row>
    <row r="545" spans="2:13" ht="12" x14ac:dyDescent="0.15">
      <c r="B545" s="121">
        <v>13</v>
      </c>
      <c r="C545" s="167" t="s">
        <v>70</v>
      </c>
      <c r="D545" s="168" t="s">
        <v>1086</v>
      </c>
      <c r="E545" s="168" t="s">
        <v>770</v>
      </c>
      <c r="F545" s="169" t="s">
        <v>770</v>
      </c>
      <c r="G545" s="122" t="s">
        <v>770</v>
      </c>
      <c r="H545" s="170">
        <v>1205387500</v>
      </c>
      <c r="I545" s="168" t="s">
        <v>1063</v>
      </c>
      <c r="J545" s="125" t="s">
        <v>770</v>
      </c>
      <c r="L545" s="4" t="s">
        <v>1151</v>
      </c>
      <c r="M545" s="77"/>
    </row>
    <row r="546" spans="2:13" ht="12" x14ac:dyDescent="0.15">
      <c r="B546" s="121">
        <v>13</v>
      </c>
      <c r="C546" s="167" t="s">
        <v>70</v>
      </c>
      <c r="D546" s="168" t="s">
        <v>1153</v>
      </c>
      <c r="E546" s="168" t="s">
        <v>770</v>
      </c>
      <c r="F546" s="169" t="s">
        <v>770</v>
      </c>
      <c r="G546" s="122" t="s">
        <v>770</v>
      </c>
      <c r="H546" s="170">
        <v>-32786.54</v>
      </c>
      <c r="I546" s="168" t="s">
        <v>1063</v>
      </c>
      <c r="J546" s="125" t="s">
        <v>770</v>
      </c>
      <c r="L546" s="4" t="s">
        <v>1151</v>
      </c>
      <c r="M546" s="77"/>
    </row>
    <row r="547" spans="2:13" ht="12" x14ac:dyDescent="0.15">
      <c r="B547" s="121">
        <v>13</v>
      </c>
      <c r="C547" s="167" t="s">
        <v>70</v>
      </c>
      <c r="D547" s="168" t="s">
        <v>1154</v>
      </c>
      <c r="E547" s="168" t="s">
        <v>770</v>
      </c>
      <c r="F547" s="169" t="s">
        <v>770</v>
      </c>
      <c r="G547" s="122" t="s">
        <v>770</v>
      </c>
      <c r="H547" s="170">
        <v>48688011.899999999</v>
      </c>
      <c r="I547" s="168" t="s">
        <v>1063</v>
      </c>
      <c r="J547" s="125" t="s">
        <v>770</v>
      </c>
      <c r="L547" s="4" t="s">
        <v>1151</v>
      </c>
      <c r="M547" s="77"/>
    </row>
    <row r="548" spans="2:13" ht="12" x14ac:dyDescent="0.15">
      <c r="B548" s="121">
        <v>13</v>
      </c>
      <c r="C548" s="167" t="s">
        <v>70</v>
      </c>
      <c r="D548" s="168" t="s">
        <v>1155</v>
      </c>
      <c r="E548" s="168" t="s">
        <v>770</v>
      </c>
      <c r="F548" s="169" t="s">
        <v>770</v>
      </c>
      <c r="G548" s="122" t="s">
        <v>770</v>
      </c>
      <c r="H548" s="170">
        <v>31446727.686000001</v>
      </c>
      <c r="I548" s="168" t="s">
        <v>1063</v>
      </c>
      <c r="J548" s="125" t="s">
        <v>770</v>
      </c>
      <c r="L548" s="4" t="s">
        <v>1151</v>
      </c>
      <c r="M548" s="77"/>
    </row>
    <row r="549" spans="2:13" ht="12" x14ac:dyDescent="0.15">
      <c r="B549" s="121">
        <v>13</v>
      </c>
      <c r="C549" s="167" t="s">
        <v>70</v>
      </c>
      <c r="D549" s="168" t="s">
        <v>1156</v>
      </c>
      <c r="E549" s="168" t="s">
        <v>770</v>
      </c>
      <c r="F549" s="169" t="s">
        <v>770</v>
      </c>
      <c r="G549" s="122" t="s">
        <v>770</v>
      </c>
      <c r="H549" s="170">
        <v>140075670.59999999</v>
      </c>
      <c r="I549" s="168" t="s">
        <v>1063</v>
      </c>
      <c r="J549" s="125" t="s">
        <v>770</v>
      </c>
      <c r="L549" s="4" t="s">
        <v>1151</v>
      </c>
      <c r="M549" s="77"/>
    </row>
    <row r="550" spans="2:13" ht="12" x14ac:dyDescent="0.15">
      <c r="B550" s="121">
        <v>13</v>
      </c>
      <c r="C550" s="167" t="s">
        <v>70</v>
      </c>
      <c r="D550" s="168" t="s">
        <v>1157</v>
      </c>
      <c r="E550" s="168" t="s">
        <v>770</v>
      </c>
      <c r="F550" s="169" t="s">
        <v>770</v>
      </c>
      <c r="G550" s="122" t="s">
        <v>770</v>
      </c>
      <c r="H550" s="170">
        <v>40659938.287999995</v>
      </c>
      <c r="I550" s="168" t="s">
        <v>1063</v>
      </c>
      <c r="J550" s="125" t="s">
        <v>770</v>
      </c>
      <c r="L550" s="4" t="s">
        <v>1151</v>
      </c>
      <c r="M550" s="77"/>
    </row>
    <row r="551" spans="2:13" ht="12" x14ac:dyDescent="0.15">
      <c r="B551" s="121">
        <v>13</v>
      </c>
      <c r="C551" s="167" t="s">
        <v>70</v>
      </c>
      <c r="D551" s="168" t="s">
        <v>1158</v>
      </c>
      <c r="E551" s="168" t="s">
        <v>770</v>
      </c>
      <c r="F551" s="169" t="s">
        <v>770</v>
      </c>
      <c r="G551" s="122" t="s">
        <v>770</v>
      </c>
      <c r="H551" s="170">
        <v>72901836</v>
      </c>
      <c r="I551" s="168" t="s">
        <v>1063</v>
      </c>
      <c r="J551" s="125" t="s">
        <v>770</v>
      </c>
      <c r="L551" s="4" t="s">
        <v>1151</v>
      </c>
      <c r="M551" s="77"/>
    </row>
    <row r="552" spans="2:13" ht="12" x14ac:dyDescent="0.15">
      <c r="B552" s="121">
        <v>13</v>
      </c>
      <c r="C552" s="167" t="s">
        <v>70</v>
      </c>
      <c r="D552" s="168" t="s">
        <v>1159</v>
      </c>
      <c r="E552" s="168" t="s">
        <v>770</v>
      </c>
      <c r="F552" s="169" t="s">
        <v>770</v>
      </c>
      <c r="G552" s="122" t="s">
        <v>770</v>
      </c>
      <c r="H552" s="170">
        <v>57280014</v>
      </c>
      <c r="I552" s="168" t="s">
        <v>1063</v>
      </c>
      <c r="J552" s="125" t="s">
        <v>770</v>
      </c>
      <c r="L552" s="4" t="s">
        <v>1151</v>
      </c>
      <c r="M552" s="77"/>
    </row>
    <row r="553" spans="2:13" ht="12" x14ac:dyDescent="0.15">
      <c r="B553" s="121">
        <v>13</v>
      </c>
      <c r="C553" s="167" t="s">
        <v>70</v>
      </c>
      <c r="D553" s="168" t="s">
        <v>1160</v>
      </c>
      <c r="E553" s="168" t="s">
        <v>770</v>
      </c>
      <c r="F553" s="169" t="s">
        <v>770</v>
      </c>
      <c r="G553" s="122" t="s">
        <v>770</v>
      </c>
      <c r="H553" s="170">
        <v>39054555</v>
      </c>
      <c r="I553" s="168" t="s">
        <v>1063</v>
      </c>
      <c r="J553" s="125" t="s">
        <v>770</v>
      </c>
      <c r="L553" s="4" t="s">
        <v>1151</v>
      </c>
      <c r="M553" s="77"/>
    </row>
    <row r="554" spans="2:13" ht="12" x14ac:dyDescent="0.15">
      <c r="B554" s="121">
        <v>13</v>
      </c>
      <c r="C554" s="167" t="s">
        <v>70</v>
      </c>
      <c r="D554" s="168" t="s">
        <v>1161</v>
      </c>
      <c r="E554" s="168" t="s">
        <v>770</v>
      </c>
      <c r="F554" s="169" t="s">
        <v>770</v>
      </c>
      <c r="G554" s="122" t="s">
        <v>770</v>
      </c>
      <c r="H554" s="170">
        <v>18902404.620000001</v>
      </c>
      <c r="I554" s="168" t="s">
        <v>1063</v>
      </c>
      <c r="J554" s="125" t="s">
        <v>770</v>
      </c>
      <c r="L554" s="4" t="s">
        <v>1151</v>
      </c>
      <c r="M554" s="77"/>
    </row>
    <row r="555" spans="2:13" ht="12" x14ac:dyDescent="0.15">
      <c r="B555" s="121">
        <v>13</v>
      </c>
      <c r="C555" s="167" t="s">
        <v>70</v>
      </c>
      <c r="D555" s="168" t="s">
        <v>1162</v>
      </c>
      <c r="E555" s="168" t="s">
        <v>770</v>
      </c>
      <c r="F555" s="169" t="s">
        <v>770</v>
      </c>
      <c r="G555" s="122" t="s">
        <v>770</v>
      </c>
      <c r="H555" s="170">
        <v>6873601.6799999997</v>
      </c>
      <c r="I555" s="168" t="s">
        <v>1063</v>
      </c>
      <c r="J555" s="125" t="s">
        <v>770</v>
      </c>
      <c r="L555" s="4" t="s">
        <v>1151</v>
      </c>
      <c r="M555" s="77"/>
    </row>
    <row r="556" spans="2:13" ht="12" x14ac:dyDescent="0.15">
      <c r="B556" s="121">
        <v>13</v>
      </c>
      <c r="C556" s="167" t="s">
        <v>70</v>
      </c>
      <c r="D556" s="168" t="s">
        <v>1163</v>
      </c>
      <c r="E556" s="168" t="s">
        <v>770</v>
      </c>
      <c r="F556" s="169" t="s">
        <v>770</v>
      </c>
      <c r="G556" s="122" t="s">
        <v>770</v>
      </c>
      <c r="H556" s="170">
        <v>57280014</v>
      </c>
      <c r="I556" s="168" t="s">
        <v>1063</v>
      </c>
      <c r="J556" s="125" t="s">
        <v>770</v>
      </c>
      <c r="L556" s="4" t="s">
        <v>1151</v>
      </c>
      <c r="M556" s="77"/>
    </row>
    <row r="557" spans="2:13" ht="12" x14ac:dyDescent="0.15">
      <c r="B557" s="121">
        <v>13</v>
      </c>
      <c r="C557" s="167" t="s">
        <v>70</v>
      </c>
      <c r="D557" s="168" t="s">
        <v>1164</v>
      </c>
      <c r="E557" s="168" t="s">
        <v>770</v>
      </c>
      <c r="F557" s="169" t="s">
        <v>770</v>
      </c>
      <c r="G557" s="122" t="s">
        <v>770</v>
      </c>
      <c r="H557" s="170">
        <v>15621822</v>
      </c>
      <c r="I557" s="168" t="s">
        <v>1063</v>
      </c>
      <c r="J557" s="125" t="s">
        <v>770</v>
      </c>
      <c r="L557" s="4" t="s">
        <v>1151</v>
      </c>
      <c r="M557" s="77"/>
    </row>
    <row r="558" spans="2:13" ht="12" x14ac:dyDescent="0.15">
      <c r="B558" s="121">
        <v>13</v>
      </c>
      <c r="C558" s="167" t="s">
        <v>70</v>
      </c>
      <c r="D558" s="168" t="s">
        <v>1165</v>
      </c>
      <c r="E558" s="168" t="s">
        <v>770</v>
      </c>
      <c r="F558" s="169" t="s">
        <v>770</v>
      </c>
      <c r="G558" s="122" t="s">
        <v>770</v>
      </c>
      <c r="H558" s="170">
        <v>11456002.800000001</v>
      </c>
      <c r="I558" s="168" t="s">
        <v>1063</v>
      </c>
      <c r="J558" s="125" t="s">
        <v>770</v>
      </c>
      <c r="L558" s="4" t="s">
        <v>1151</v>
      </c>
      <c r="M558" s="77"/>
    </row>
    <row r="559" spans="2:13" ht="12" x14ac:dyDescent="0.15">
      <c r="B559" s="121">
        <v>13</v>
      </c>
      <c r="C559" s="167" t="s">
        <v>70</v>
      </c>
      <c r="D559" s="168" t="s">
        <v>1166</v>
      </c>
      <c r="E559" s="168" t="s">
        <v>770</v>
      </c>
      <c r="F559" s="169" t="s">
        <v>770</v>
      </c>
      <c r="G559" s="122" t="s">
        <v>770</v>
      </c>
      <c r="H559" s="170">
        <v>28929300</v>
      </c>
      <c r="I559" s="168" t="s">
        <v>1063</v>
      </c>
      <c r="J559" s="125" t="s">
        <v>770</v>
      </c>
      <c r="L559" s="4" t="s">
        <v>1151</v>
      </c>
      <c r="M559" s="77"/>
    </row>
    <row r="560" spans="2:13" ht="12" x14ac:dyDescent="0.15">
      <c r="B560" s="121">
        <v>13</v>
      </c>
      <c r="C560" s="167" t="s">
        <v>70</v>
      </c>
      <c r="D560" s="168" t="s">
        <v>1167</v>
      </c>
      <c r="E560" s="168" t="s">
        <v>770</v>
      </c>
      <c r="F560" s="169" t="s">
        <v>770</v>
      </c>
      <c r="G560" s="122" t="s">
        <v>770</v>
      </c>
      <c r="H560" s="170">
        <v>21696975</v>
      </c>
      <c r="I560" s="168" t="s">
        <v>1063</v>
      </c>
      <c r="J560" s="125" t="s">
        <v>770</v>
      </c>
      <c r="L560" s="4" t="s">
        <v>1151</v>
      </c>
      <c r="M560" s="77"/>
    </row>
    <row r="561" spans="2:13" ht="12" x14ac:dyDescent="0.15">
      <c r="B561" s="121">
        <v>13</v>
      </c>
      <c r="C561" s="167" t="s">
        <v>70</v>
      </c>
      <c r="D561" s="168" t="s">
        <v>1168</v>
      </c>
      <c r="E561" s="168" t="s">
        <v>770</v>
      </c>
      <c r="F561" s="169" t="s">
        <v>770</v>
      </c>
      <c r="G561" s="122" t="s">
        <v>770</v>
      </c>
      <c r="H561" s="170">
        <v>11571720</v>
      </c>
      <c r="I561" s="168" t="s">
        <v>1063</v>
      </c>
      <c r="J561" s="125" t="s">
        <v>770</v>
      </c>
      <c r="L561" s="4" t="s">
        <v>1151</v>
      </c>
      <c r="M561" s="77"/>
    </row>
    <row r="562" spans="2:13" ht="12" x14ac:dyDescent="0.15">
      <c r="B562" s="121">
        <v>13</v>
      </c>
      <c r="C562" s="167" t="s">
        <v>70</v>
      </c>
      <c r="D562" s="168" t="s">
        <v>1169</v>
      </c>
      <c r="E562" s="168" t="s">
        <v>770</v>
      </c>
      <c r="F562" s="169" t="s">
        <v>770</v>
      </c>
      <c r="G562" s="122" t="s">
        <v>770</v>
      </c>
      <c r="H562" s="170">
        <v>17357580</v>
      </c>
      <c r="I562" s="168" t="s">
        <v>1063</v>
      </c>
      <c r="J562" s="125" t="s">
        <v>770</v>
      </c>
      <c r="L562" s="4" t="s">
        <v>1151</v>
      </c>
      <c r="M562" s="77"/>
    </row>
    <row r="563" spans="2:13" ht="12" x14ac:dyDescent="0.15">
      <c r="B563" s="121">
        <v>13</v>
      </c>
      <c r="C563" s="167" t="s">
        <v>70</v>
      </c>
      <c r="D563" s="168" t="s">
        <v>1170</v>
      </c>
      <c r="E563" s="168" t="s">
        <v>770</v>
      </c>
      <c r="F563" s="169" t="s">
        <v>770</v>
      </c>
      <c r="G563" s="122" t="s">
        <v>770</v>
      </c>
      <c r="H563" s="170">
        <v>2864000.7</v>
      </c>
      <c r="I563" s="168" t="s">
        <v>1063</v>
      </c>
      <c r="J563" s="125" t="s">
        <v>770</v>
      </c>
      <c r="L563" s="4" t="s">
        <v>1151</v>
      </c>
      <c r="M563" s="77"/>
    </row>
    <row r="564" spans="2:13" ht="12" x14ac:dyDescent="0.15">
      <c r="B564" s="121">
        <v>13</v>
      </c>
      <c r="C564" s="167" t="s">
        <v>70</v>
      </c>
      <c r="D564" s="168" t="s">
        <v>1171</v>
      </c>
      <c r="E564" s="168" t="s">
        <v>770</v>
      </c>
      <c r="F564" s="169" t="s">
        <v>770</v>
      </c>
      <c r="G564" s="122" t="s">
        <v>770</v>
      </c>
      <c r="H564" s="170">
        <v>5728001.4000000004</v>
      </c>
      <c r="I564" s="168" t="s">
        <v>1063</v>
      </c>
      <c r="J564" s="125" t="s">
        <v>770</v>
      </c>
      <c r="L564" s="4" t="s">
        <v>1151</v>
      </c>
      <c r="M564" s="77"/>
    </row>
    <row r="565" spans="2:13" ht="12" x14ac:dyDescent="0.15">
      <c r="B565" s="121">
        <v>13</v>
      </c>
      <c r="C565" s="167" t="s">
        <v>70</v>
      </c>
      <c r="D565" s="168" t="s">
        <v>1172</v>
      </c>
      <c r="E565" s="168" t="s">
        <v>770</v>
      </c>
      <c r="F565" s="169" t="s">
        <v>770</v>
      </c>
      <c r="G565" s="122" t="s">
        <v>770</v>
      </c>
      <c r="H565" s="170">
        <v>572800.14</v>
      </c>
      <c r="I565" s="168" t="s">
        <v>1063</v>
      </c>
      <c r="J565" s="125" t="s">
        <v>770</v>
      </c>
      <c r="L565" s="4" t="s">
        <v>1151</v>
      </c>
      <c r="M565" s="77"/>
    </row>
    <row r="566" spans="2:13" ht="12" x14ac:dyDescent="0.15">
      <c r="B566" s="121">
        <v>13</v>
      </c>
      <c r="C566" s="167" t="s">
        <v>70</v>
      </c>
      <c r="D566" s="168" t="s">
        <v>1173</v>
      </c>
      <c r="E566" s="168" t="s">
        <v>770</v>
      </c>
      <c r="F566" s="169" t="s">
        <v>770</v>
      </c>
      <c r="G566" s="122" t="s">
        <v>770</v>
      </c>
      <c r="H566" s="170">
        <v>54506176.285000004</v>
      </c>
      <c r="I566" s="168" t="s">
        <v>1063</v>
      </c>
      <c r="J566" s="125" t="s">
        <v>770</v>
      </c>
      <c r="L566" s="4" t="s">
        <v>1151</v>
      </c>
      <c r="M566" s="77"/>
    </row>
    <row r="567" spans="2:13" ht="12" x14ac:dyDescent="0.15">
      <c r="B567" s="121">
        <v>13</v>
      </c>
      <c r="C567" s="167" t="s">
        <v>70</v>
      </c>
      <c r="D567" s="168" t="s">
        <v>1174</v>
      </c>
      <c r="E567" s="168" t="s">
        <v>770</v>
      </c>
      <c r="F567" s="169" t="s">
        <v>770</v>
      </c>
      <c r="G567" s="122" t="s">
        <v>770</v>
      </c>
      <c r="H567" s="170">
        <v>11456002.800000001</v>
      </c>
      <c r="I567" s="168" t="s">
        <v>1063</v>
      </c>
      <c r="J567" s="125" t="s">
        <v>770</v>
      </c>
      <c r="L567" s="4" t="s">
        <v>1151</v>
      </c>
      <c r="M567" s="77"/>
    </row>
    <row r="568" spans="2:13" ht="12" x14ac:dyDescent="0.15">
      <c r="B568" s="121">
        <v>13</v>
      </c>
      <c r="C568" s="167" t="s">
        <v>70</v>
      </c>
      <c r="D568" s="168" t="s">
        <v>1175</v>
      </c>
      <c r="E568" s="168" t="s">
        <v>770</v>
      </c>
      <c r="F568" s="169" t="s">
        <v>770</v>
      </c>
      <c r="G568" s="122" t="s">
        <v>770</v>
      </c>
      <c r="H568" s="170">
        <v>572800.14</v>
      </c>
      <c r="I568" s="168" t="s">
        <v>1063</v>
      </c>
      <c r="J568" s="125" t="s">
        <v>770</v>
      </c>
      <c r="L568" s="4" t="s">
        <v>1151</v>
      </c>
      <c r="M568" s="77"/>
    </row>
    <row r="569" spans="2:13" ht="12" x14ac:dyDescent="0.15">
      <c r="B569" s="121">
        <v>13</v>
      </c>
      <c r="C569" s="167" t="s">
        <v>70</v>
      </c>
      <c r="D569" s="168" t="s">
        <v>1176</v>
      </c>
      <c r="E569" s="168" t="s">
        <v>770</v>
      </c>
      <c r="F569" s="169" t="s">
        <v>770</v>
      </c>
      <c r="G569" s="122" t="s">
        <v>770</v>
      </c>
      <c r="H569" s="170">
        <v>4009600.9800000004</v>
      </c>
      <c r="I569" s="168" t="s">
        <v>1063</v>
      </c>
      <c r="J569" s="125" t="s">
        <v>770</v>
      </c>
      <c r="L569" s="4" t="s">
        <v>1151</v>
      </c>
      <c r="M569" s="77"/>
    </row>
    <row r="570" spans="2:13" ht="12" x14ac:dyDescent="0.15">
      <c r="B570" s="121">
        <v>13</v>
      </c>
      <c r="C570" s="167" t="s">
        <v>70</v>
      </c>
      <c r="D570" s="168" t="s">
        <v>1177</v>
      </c>
      <c r="E570" s="168" t="s">
        <v>770</v>
      </c>
      <c r="F570" s="169" t="s">
        <v>770</v>
      </c>
      <c r="G570" s="122" t="s">
        <v>770</v>
      </c>
      <c r="H570" s="170">
        <v>2864000.7</v>
      </c>
      <c r="I570" s="168" t="s">
        <v>1063</v>
      </c>
      <c r="J570" s="125" t="s">
        <v>770</v>
      </c>
      <c r="L570" s="4" t="s">
        <v>1151</v>
      </c>
      <c r="M570" s="77"/>
    </row>
    <row r="571" spans="2:13" ht="12" x14ac:dyDescent="0.15">
      <c r="B571" s="121">
        <v>13</v>
      </c>
      <c r="C571" s="167" t="s">
        <v>70</v>
      </c>
      <c r="D571" s="168" t="s">
        <v>1178</v>
      </c>
      <c r="E571" s="168" t="s">
        <v>770</v>
      </c>
      <c r="F571" s="169" t="s">
        <v>770</v>
      </c>
      <c r="G571" s="122" t="s">
        <v>770</v>
      </c>
      <c r="H571" s="170">
        <v>26036370</v>
      </c>
      <c r="I571" s="168" t="s">
        <v>1063</v>
      </c>
      <c r="J571" s="125" t="s">
        <v>770</v>
      </c>
      <c r="L571" s="4" t="s">
        <v>1151</v>
      </c>
      <c r="M571" s="77"/>
    </row>
    <row r="572" spans="2:13" ht="12" x14ac:dyDescent="0.15">
      <c r="B572" s="121">
        <v>13</v>
      </c>
      <c r="C572" s="167" t="s">
        <v>70</v>
      </c>
      <c r="D572" s="168" t="s">
        <v>1179</v>
      </c>
      <c r="E572" s="168" t="s">
        <v>770</v>
      </c>
      <c r="F572" s="169" t="s">
        <v>770</v>
      </c>
      <c r="G572" s="122" t="s">
        <v>770</v>
      </c>
      <c r="H572" s="170">
        <v>5921827.7100000009</v>
      </c>
      <c r="I572" s="168" t="s">
        <v>1063</v>
      </c>
      <c r="J572" s="125" t="s">
        <v>770</v>
      </c>
      <c r="L572" s="4" t="s">
        <v>1151</v>
      </c>
      <c r="M572" s="77"/>
    </row>
    <row r="573" spans="2:13" ht="12" x14ac:dyDescent="0.15">
      <c r="B573" s="121">
        <v>13</v>
      </c>
      <c r="C573" s="167" t="s">
        <v>70</v>
      </c>
      <c r="D573" s="168" t="s">
        <v>1180</v>
      </c>
      <c r="E573" s="168" t="s">
        <v>770</v>
      </c>
      <c r="F573" s="169" t="s">
        <v>770</v>
      </c>
      <c r="G573" s="122" t="s">
        <v>770</v>
      </c>
      <c r="H573" s="170">
        <v>12257344.41</v>
      </c>
      <c r="I573" s="168" t="s">
        <v>1063</v>
      </c>
      <c r="J573" s="125" t="s">
        <v>770</v>
      </c>
      <c r="L573" s="4" t="s">
        <v>1151</v>
      </c>
      <c r="M573" s="77"/>
    </row>
    <row r="574" spans="2:13" ht="12" x14ac:dyDescent="0.15">
      <c r="B574" s="121">
        <v>13</v>
      </c>
      <c r="C574" s="167" t="s">
        <v>70</v>
      </c>
      <c r="D574" s="168" t="s">
        <v>1181</v>
      </c>
      <c r="E574" s="168" t="s">
        <v>770</v>
      </c>
      <c r="F574" s="169" t="s">
        <v>770</v>
      </c>
      <c r="G574" s="122" t="s">
        <v>770</v>
      </c>
      <c r="H574" s="170">
        <v>5160987.120000001</v>
      </c>
      <c r="I574" s="168" t="s">
        <v>1063</v>
      </c>
      <c r="J574" s="125" t="s">
        <v>770</v>
      </c>
      <c r="L574" s="4" t="s">
        <v>1151</v>
      </c>
      <c r="M574" s="77"/>
    </row>
    <row r="575" spans="2:13" ht="12" x14ac:dyDescent="0.15">
      <c r="B575" s="121">
        <v>13</v>
      </c>
      <c r="C575" s="167" t="s">
        <v>70</v>
      </c>
      <c r="D575" s="168" t="s">
        <v>1182</v>
      </c>
      <c r="E575" s="168" t="s">
        <v>770</v>
      </c>
      <c r="F575" s="169" t="s">
        <v>770</v>
      </c>
      <c r="G575" s="122" t="s">
        <v>770</v>
      </c>
      <c r="H575" s="170">
        <v>47588698.5</v>
      </c>
      <c r="I575" s="168" t="s">
        <v>1063</v>
      </c>
      <c r="J575" s="125" t="s">
        <v>770</v>
      </c>
      <c r="L575" s="4" t="s">
        <v>1151</v>
      </c>
      <c r="M575" s="77"/>
    </row>
    <row r="576" spans="2:13" ht="12" x14ac:dyDescent="0.15">
      <c r="B576" s="121">
        <v>13</v>
      </c>
      <c r="C576" s="167" t="s">
        <v>70</v>
      </c>
      <c r="D576" s="168" t="s">
        <v>1183</v>
      </c>
      <c r="E576" s="168" t="s">
        <v>770</v>
      </c>
      <c r="F576" s="169" t="s">
        <v>770</v>
      </c>
      <c r="G576" s="122" t="s">
        <v>770</v>
      </c>
      <c r="H576" s="170">
        <v>66074521.200000003</v>
      </c>
      <c r="I576" s="168" t="s">
        <v>1063</v>
      </c>
      <c r="J576" s="125" t="s">
        <v>770</v>
      </c>
      <c r="L576" s="4" t="s">
        <v>1151</v>
      </c>
      <c r="M576" s="77"/>
    </row>
    <row r="577" spans="2:13" ht="12" x14ac:dyDescent="0.15">
      <c r="B577" s="121">
        <v>13</v>
      </c>
      <c r="C577" s="167" t="s">
        <v>70</v>
      </c>
      <c r="D577" s="168" t="s">
        <v>1184</v>
      </c>
      <c r="E577" s="168" t="s">
        <v>770</v>
      </c>
      <c r="F577" s="169" t="s">
        <v>770</v>
      </c>
      <c r="G577" s="122" t="s">
        <v>770</v>
      </c>
      <c r="H577" s="170">
        <v>31388290.5</v>
      </c>
      <c r="I577" s="168" t="s">
        <v>1063</v>
      </c>
      <c r="J577" s="125" t="s">
        <v>770</v>
      </c>
      <c r="L577" s="4" t="s">
        <v>1151</v>
      </c>
      <c r="M577" s="77"/>
    </row>
    <row r="578" spans="2:13" ht="12" x14ac:dyDescent="0.15">
      <c r="B578" s="121">
        <v>13</v>
      </c>
      <c r="C578" s="167" t="s">
        <v>70</v>
      </c>
      <c r="D578" s="168" t="s">
        <v>1185</v>
      </c>
      <c r="E578" s="168" t="s">
        <v>770</v>
      </c>
      <c r="F578" s="169" t="s">
        <v>770</v>
      </c>
      <c r="G578" s="122" t="s">
        <v>770</v>
      </c>
      <c r="H578" s="170">
        <v>83432101.200000003</v>
      </c>
      <c r="I578" s="168" t="s">
        <v>1063</v>
      </c>
      <c r="J578" s="125" t="s">
        <v>770</v>
      </c>
      <c r="L578" s="4" t="s">
        <v>1151</v>
      </c>
      <c r="M578" s="77"/>
    </row>
    <row r="579" spans="2:13" ht="12" x14ac:dyDescent="0.15">
      <c r="B579" s="121">
        <v>13</v>
      </c>
      <c r="C579" s="167" t="s">
        <v>70</v>
      </c>
      <c r="D579" s="168" t="s">
        <v>1186</v>
      </c>
      <c r="E579" s="168" t="s">
        <v>770</v>
      </c>
      <c r="F579" s="169" t="s">
        <v>770</v>
      </c>
      <c r="G579" s="122" t="s">
        <v>770</v>
      </c>
      <c r="H579" s="170">
        <v>81927777.600000009</v>
      </c>
      <c r="I579" s="168" t="s">
        <v>1063</v>
      </c>
      <c r="J579" s="125" t="s">
        <v>770</v>
      </c>
      <c r="L579" s="4" t="s">
        <v>1151</v>
      </c>
      <c r="M579" s="77"/>
    </row>
    <row r="580" spans="2:13" ht="12" x14ac:dyDescent="0.15">
      <c r="B580" s="121">
        <v>13</v>
      </c>
      <c r="C580" s="167" t="s">
        <v>70</v>
      </c>
      <c r="D580" s="168" t="s">
        <v>1187</v>
      </c>
      <c r="E580" s="168" t="s">
        <v>770</v>
      </c>
      <c r="F580" s="169" t="s">
        <v>770</v>
      </c>
      <c r="G580" s="122" t="s">
        <v>770</v>
      </c>
      <c r="H580" s="170">
        <v>51447867.119999997</v>
      </c>
      <c r="I580" s="168" t="s">
        <v>1063</v>
      </c>
      <c r="J580" s="125" t="s">
        <v>770</v>
      </c>
      <c r="L580" s="4" t="s">
        <v>1151</v>
      </c>
      <c r="M580" s="77"/>
    </row>
    <row r="581" spans="2:13" ht="12" x14ac:dyDescent="0.15">
      <c r="B581" s="121">
        <v>13</v>
      </c>
      <c r="C581" s="167" t="s">
        <v>70</v>
      </c>
      <c r="D581" s="168" t="s">
        <v>1188</v>
      </c>
      <c r="E581" s="168" t="s">
        <v>770</v>
      </c>
      <c r="F581" s="169" t="s">
        <v>770</v>
      </c>
      <c r="G581" s="122" t="s">
        <v>770</v>
      </c>
      <c r="H581" s="170">
        <v>9546669</v>
      </c>
      <c r="I581" s="168" t="s">
        <v>1063</v>
      </c>
      <c r="J581" s="125" t="s">
        <v>770</v>
      </c>
      <c r="L581" s="4" t="s">
        <v>1151</v>
      </c>
      <c r="M581" s="77"/>
    </row>
    <row r="582" spans="2:13" ht="12" x14ac:dyDescent="0.15">
      <c r="B582" s="121">
        <v>13</v>
      </c>
      <c r="C582" s="167" t="s">
        <v>70</v>
      </c>
      <c r="D582" s="168" t="s">
        <v>1189</v>
      </c>
      <c r="E582" s="168" t="s">
        <v>770</v>
      </c>
      <c r="F582" s="169" t="s">
        <v>770</v>
      </c>
      <c r="G582" s="122" t="s">
        <v>770</v>
      </c>
      <c r="H582" s="170">
        <v>34281220.5</v>
      </c>
      <c r="I582" s="168" t="s">
        <v>1063</v>
      </c>
      <c r="J582" s="125" t="s">
        <v>770</v>
      </c>
      <c r="L582" s="4" t="s">
        <v>1151</v>
      </c>
      <c r="M582" s="77"/>
    </row>
    <row r="583" spans="2:13" ht="12" x14ac:dyDescent="0.15">
      <c r="B583" s="121">
        <v>13</v>
      </c>
      <c r="C583" s="167" t="s">
        <v>70</v>
      </c>
      <c r="D583" s="168" t="s">
        <v>1190</v>
      </c>
      <c r="E583" s="168" t="s">
        <v>770</v>
      </c>
      <c r="F583" s="169" t="s">
        <v>770</v>
      </c>
      <c r="G583" s="122" t="s">
        <v>770</v>
      </c>
      <c r="H583" s="170">
        <v>75216180</v>
      </c>
      <c r="I583" s="168" t="s">
        <v>1063</v>
      </c>
      <c r="J583" s="125" t="s">
        <v>770</v>
      </c>
      <c r="L583" s="4" t="s">
        <v>1151</v>
      </c>
      <c r="M583" s="77"/>
    </row>
    <row r="584" spans="2:13" ht="12" x14ac:dyDescent="0.15">
      <c r="B584" s="121">
        <v>13</v>
      </c>
      <c r="C584" s="167" t="s">
        <v>70</v>
      </c>
      <c r="D584" s="168" t="s">
        <v>1191</v>
      </c>
      <c r="E584" s="168" t="s">
        <v>770</v>
      </c>
      <c r="F584" s="169" t="s">
        <v>770</v>
      </c>
      <c r="G584" s="122" t="s">
        <v>770</v>
      </c>
      <c r="H584" s="170">
        <v>9315234.5999999996</v>
      </c>
      <c r="I584" s="168" t="s">
        <v>1063</v>
      </c>
      <c r="J584" s="125" t="s">
        <v>770</v>
      </c>
      <c r="L584" s="4" t="s">
        <v>1151</v>
      </c>
      <c r="M584" s="77"/>
    </row>
    <row r="585" spans="2:13" ht="12" x14ac:dyDescent="0.15">
      <c r="B585" s="121">
        <v>13</v>
      </c>
      <c r="C585" s="167" t="s">
        <v>70</v>
      </c>
      <c r="D585" s="168" t="s">
        <v>1192</v>
      </c>
      <c r="E585" s="168" t="s">
        <v>770</v>
      </c>
      <c r="F585" s="169" t="s">
        <v>770</v>
      </c>
      <c r="G585" s="122" t="s">
        <v>770</v>
      </c>
      <c r="H585" s="170">
        <v>57164296.800000004</v>
      </c>
      <c r="I585" s="168" t="s">
        <v>1063</v>
      </c>
      <c r="J585" s="125" t="s">
        <v>770</v>
      </c>
      <c r="L585" s="4" t="s">
        <v>1151</v>
      </c>
      <c r="M585" s="77"/>
    </row>
    <row r="586" spans="2:13" ht="12" x14ac:dyDescent="0.15">
      <c r="B586" s="121">
        <v>13</v>
      </c>
      <c r="C586" s="167" t="s">
        <v>70</v>
      </c>
      <c r="D586" s="168" t="s">
        <v>1193</v>
      </c>
      <c r="E586" s="168" t="s">
        <v>770</v>
      </c>
      <c r="F586" s="169" t="s">
        <v>770</v>
      </c>
      <c r="G586" s="122" t="s">
        <v>770</v>
      </c>
      <c r="H586" s="170">
        <v>72323250</v>
      </c>
      <c r="I586" s="168" t="s">
        <v>1063</v>
      </c>
      <c r="J586" s="125" t="s">
        <v>770</v>
      </c>
      <c r="L586" s="4" t="s">
        <v>1151</v>
      </c>
      <c r="M586" s="77"/>
    </row>
    <row r="587" spans="2:13" ht="12" x14ac:dyDescent="0.15">
      <c r="B587" s="121">
        <v>13</v>
      </c>
      <c r="C587" s="167" t="s">
        <v>70</v>
      </c>
      <c r="D587" s="168" t="s">
        <v>1194</v>
      </c>
      <c r="E587" s="168" t="s">
        <v>770</v>
      </c>
      <c r="F587" s="169" t="s">
        <v>770</v>
      </c>
      <c r="G587" s="122" t="s">
        <v>770</v>
      </c>
      <c r="H587" s="170">
        <v>14464650</v>
      </c>
      <c r="I587" s="168" t="s">
        <v>1063</v>
      </c>
      <c r="J587" s="125" t="s">
        <v>770</v>
      </c>
      <c r="L587" s="4" t="s">
        <v>1151</v>
      </c>
      <c r="M587" s="77"/>
    </row>
    <row r="588" spans="2:13" ht="12" x14ac:dyDescent="0.15">
      <c r="B588" s="121">
        <v>13</v>
      </c>
      <c r="C588" s="167" t="s">
        <v>70</v>
      </c>
      <c r="D588" s="168" t="s">
        <v>1195</v>
      </c>
      <c r="E588" s="168" t="s">
        <v>770</v>
      </c>
      <c r="F588" s="169" t="s">
        <v>770</v>
      </c>
      <c r="G588" s="122" t="s">
        <v>770</v>
      </c>
      <c r="H588" s="170">
        <v>28929300</v>
      </c>
      <c r="I588" s="168" t="s">
        <v>1063</v>
      </c>
      <c r="J588" s="125" t="s">
        <v>770</v>
      </c>
      <c r="L588" s="4" t="s">
        <v>1151</v>
      </c>
      <c r="M588" s="77"/>
    </row>
    <row r="589" spans="2:13" ht="12" x14ac:dyDescent="0.15">
      <c r="B589" s="121">
        <v>13</v>
      </c>
      <c r="C589" s="167" t="s">
        <v>70</v>
      </c>
      <c r="D589" s="168" t="s">
        <v>1196</v>
      </c>
      <c r="E589" s="168" t="s">
        <v>770</v>
      </c>
      <c r="F589" s="169" t="s">
        <v>770</v>
      </c>
      <c r="G589" s="122" t="s">
        <v>770</v>
      </c>
      <c r="H589" s="170">
        <v>28929300</v>
      </c>
      <c r="I589" s="168" t="s">
        <v>1063</v>
      </c>
      <c r="J589" s="125" t="s">
        <v>770</v>
      </c>
      <c r="L589" s="4" t="s">
        <v>1151</v>
      </c>
      <c r="M589" s="77"/>
    </row>
    <row r="590" spans="2:13" ht="12" x14ac:dyDescent="0.15">
      <c r="B590" s="121">
        <v>13</v>
      </c>
      <c r="C590" s="167" t="s">
        <v>70</v>
      </c>
      <c r="D590" s="168" t="s">
        <v>1197</v>
      </c>
      <c r="E590" s="168" t="s">
        <v>770</v>
      </c>
      <c r="F590" s="169" t="s">
        <v>770</v>
      </c>
      <c r="G590" s="122" t="s">
        <v>770</v>
      </c>
      <c r="H590" s="170">
        <v>358633832.03200001</v>
      </c>
      <c r="I590" s="168" t="s">
        <v>1063</v>
      </c>
      <c r="J590" s="125" t="s">
        <v>770</v>
      </c>
      <c r="L590" s="4" t="s">
        <v>1151</v>
      </c>
      <c r="M590" s="77"/>
    </row>
    <row r="591" spans="2:13" ht="12" x14ac:dyDescent="0.15">
      <c r="B591" s="121">
        <v>13</v>
      </c>
      <c r="C591" s="167" t="s">
        <v>70</v>
      </c>
      <c r="D591" s="168" t="s">
        <v>1137</v>
      </c>
      <c r="E591" s="168" t="s">
        <v>770</v>
      </c>
      <c r="F591" s="169" t="s">
        <v>770</v>
      </c>
      <c r="G591" s="122" t="s">
        <v>770</v>
      </c>
      <c r="H591" s="170">
        <v>41658.192000000003</v>
      </c>
      <c r="I591" s="168" t="s">
        <v>1063</v>
      </c>
      <c r="J591" s="125" t="s">
        <v>770</v>
      </c>
      <c r="L591" s="4" t="s">
        <v>1151</v>
      </c>
      <c r="M591" s="77"/>
    </row>
    <row r="592" spans="2:13" ht="12" x14ac:dyDescent="0.15">
      <c r="B592" s="121">
        <v>13</v>
      </c>
      <c r="C592" s="167" t="s">
        <v>70</v>
      </c>
      <c r="D592" s="168" t="s">
        <v>1198</v>
      </c>
      <c r="E592" s="168" t="s">
        <v>770</v>
      </c>
      <c r="F592" s="169" t="s">
        <v>770</v>
      </c>
      <c r="G592" s="122" t="s">
        <v>770</v>
      </c>
      <c r="H592" s="170">
        <v>1205387500</v>
      </c>
      <c r="I592" s="168" t="s">
        <v>1063</v>
      </c>
      <c r="J592" s="125" t="s">
        <v>770</v>
      </c>
      <c r="L592" s="4" t="s">
        <v>1151</v>
      </c>
      <c r="M592" s="77"/>
    </row>
    <row r="593" spans="2:10" ht="12" x14ac:dyDescent="0.15">
      <c r="B593" s="121">
        <v>13</v>
      </c>
      <c r="C593" s="167" t="s">
        <v>70</v>
      </c>
      <c r="D593" s="168" t="s">
        <v>1199</v>
      </c>
      <c r="E593" s="168" t="s">
        <v>770</v>
      </c>
      <c r="F593" s="169" t="s">
        <v>770</v>
      </c>
      <c r="G593" s="122" t="s">
        <v>770</v>
      </c>
      <c r="H593" s="170">
        <v>1882500</v>
      </c>
      <c r="I593" s="168" t="s">
        <v>1200</v>
      </c>
      <c r="J593" s="168" t="s">
        <v>770</v>
      </c>
    </row>
    <row r="594" spans="2:10" ht="12" x14ac:dyDescent="0.15">
      <c r="B594" s="121">
        <v>13</v>
      </c>
      <c r="C594" s="167" t="s">
        <v>70</v>
      </c>
      <c r="D594" s="168" t="s">
        <v>1201</v>
      </c>
      <c r="E594" s="168" t="s">
        <v>770</v>
      </c>
      <c r="F594" s="169" t="s">
        <v>770</v>
      </c>
      <c r="G594" s="122" t="s">
        <v>770</v>
      </c>
      <c r="H594" s="170">
        <v>2700000</v>
      </c>
      <c r="I594" s="168" t="s">
        <v>1200</v>
      </c>
      <c r="J594" s="168" t="s">
        <v>770</v>
      </c>
    </row>
    <row r="595" spans="2:10" ht="12" x14ac:dyDescent="0.15">
      <c r="B595" s="121">
        <v>13</v>
      </c>
      <c r="C595" s="167" t="s">
        <v>70</v>
      </c>
      <c r="D595" s="168" t="s">
        <v>1202</v>
      </c>
      <c r="E595" s="168" t="s">
        <v>770</v>
      </c>
      <c r="F595" s="169" t="s">
        <v>770</v>
      </c>
      <c r="G595" s="122" t="s">
        <v>770</v>
      </c>
      <c r="H595" s="170">
        <v>2700000</v>
      </c>
      <c r="I595" s="168" t="s">
        <v>1200</v>
      </c>
      <c r="J595" s="168" t="s">
        <v>770</v>
      </c>
    </row>
    <row r="596" spans="2:10" ht="12" x14ac:dyDescent="0.15">
      <c r="B596" s="121">
        <v>13</v>
      </c>
      <c r="C596" s="167" t="s">
        <v>70</v>
      </c>
      <c r="D596" s="168" t="s">
        <v>1199</v>
      </c>
      <c r="E596" s="168" t="s">
        <v>770</v>
      </c>
      <c r="F596" s="169" t="s">
        <v>770</v>
      </c>
      <c r="G596" s="122" t="s">
        <v>770</v>
      </c>
      <c r="H596" s="170">
        <v>-1882500</v>
      </c>
      <c r="I596" s="168" t="s">
        <v>1200</v>
      </c>
      <c r="J596" s="168" t="s">
        <v>770</v>
      </c>
    </row>
    <row r="597" spans="2:10" ht="12" x14ac:dyDescent="0.15">
      <c r="B597" s="121">
        <v>13</v>
      </c>
      <c r="C597" s="167" t="s">
        <v>70</v>
      </c>
      <c r="D597" s="168" t="s">
        <v>1201</v>
      </c>
      <c r="E597" s="168" t="s">
        <v>770</v>
      </c>
      <c r="F597" s="169" t="s">
        <v>770</v>
      </c>
      <c r="G597" s="122" t="s">
        <v>770</v>
      </c>
      <c r="H597" s="170">
        <v>-2700000</v>
      </c>
      <c r="I597" s="168" t="s">
        <v>1200</v>
      </c>
      <c r="J597" s="168" t="s">
        <v>770</v>
      </c>
    </row>
    <row r="598" spans="2:10" ht="12" x14ac:dyDescent="0.15">
      <c r="B598" s="121">
        <v>13</v>
      </c>
      <c r="C598" s="167" t="s">
        <v>70</v>
      </c>
      <c r="D598" s="168" t="s">
        <v>1202</v>
      </c>
      <c r="E598" s="168" t="s">
        <v>770</v>
      </c>
      <c r="F598" s="169" t="s">
        <v>770</v>
      </c>
      <c r="G598" s="122" t="s">
        <v>770</v>
      </c>
      <c r="H598" s="170">
        <v>-2700000</v>
      </c>
      <c r="I598" s="168" t="s">
        <v>1200</v>
      </c>
      <c r="J598" s="168" t="s">
        <v>770</v>
      </c>
    </row>
    <row r="599" spans="2:10" ht="12" x14ac:dyDescent="0.15">
      <c r="B599" s="121">
        <v>13</v>
      </c>
      <c r="C599" s="167" t="s">
        <v>70</v>
      </c>
      <c r="D599" s="168" t="s">
        <v>1203</v>
      </c>
      <c r="E599" s="168" t="s">
        <v>770</v>
      </c>
      <c r="F599" s="169" t="s">
        <v>770</v>
      </c>
      <c r="G599" s="122" t="s">
        <v>770</v>
      </c>
      <c r="H599" s="170">
        <v>2300000</v>
      </c>
      <c r="I599" s="168" t="s">
        <v>1200</v>
      </c>
      <c r="J599" s="168" t="s">
        <v>770</v>
      </c>
    </row>
    <row r="600" spans="2:10" ht="12" x14ac:dyDescent="0.15">
      <c r="B600" s="121">
        <v>13</v>
      </c>
      <c r="C600" s="167" t="s">
        <v>70</v>
      </c>
      <c r="D600" s="168" t="s">
        <v>1204</v>
      </c>
      <c r="E600" s="168" t="s">
        <v>770</v>
      </c>
      <c r="F600" s="169" t="s">
        <v>770</v>
      </c>
      <c r="G600" s="122" t="s">
        <v>770</v>
      </c>
      <c r="H600" s="170">
        <v>75000</v>
      </c>
      <c r="I600" s="168" t="s">
        <v>1200</v>
      </c>
      <c r="J600" s="168" t="s">
        <v>770</v>
      </c>
    </row>
    <row r="601" spans="2:10" ht="12" x14ac:dyDescent="0.15">
      <c r="B601" s="121">
        <v>13</v>
      </c>
      <c r="C601" s="167" t="s">
        <v>70</v>
      </c>
      <c r="D601" s="168" t="s">
        <v>1205</v>
      </c>
      <c r="E601" s="168" t="s">
        <v>770</v>
      </c>
      <c r="F601" s="169" t="s">
        <v>770</v>
      </c>
      <c r="G601" s="122" t="s">
        <v>770</v>
      </c>
      <c r="H601" s="170">
        <v>2700000</v>
      </c>
      <c r="I601" s="168" t="s">
        <v>1200</v>
      </c>
      <c r="J601" s="168" t="s">
        <v>770</v>
      </c>
    </row>
    <row r="602" spans="2:10" ht="12" x14ac:dyDescent="0.15">
      <c r="B602" s="121">
        <v>13</v>
      </c>
      <c r="C602" s="167" t="s">
        <v>70</v>
      </c>
      <c r="D602" s="168" t="s">
        <v>1206</v>
      </c>
      <c r="E602" s="168" t="s">
        <v>770</v>
      </c>
      <c r="F602" s="169" t="s">
        <v>770</v>
      </c>
      <c r="G602" s="122" t="s">
        <v>770</v>
      </c>
      <c r="H602" s="170">
        <v>5265000</v>
      </c>
      <c r="I602" s="168" t="s">
        <v>1200</v>
      </c>
      <c r="J602" s="168" t="s">
        <v>770</v>
      </c>
    </row>
    <row r="603" spans="2:10" ht="12" x14ac:dyDescent="0.15">
      <c r="B603" s="121">
        <v>13</v>
      </c>
      <c r="C603" s="167" t="s">
        <v>70</v>
      </c>
      <c r="D603" s="168" t="s">
        <v>1207</v>
      </c>
      <c r="E603" s="168" t="s">
        <v>770</v>
      </c>
      <c r="F603" s="169" t="s">
        <v>770</v>
      </c>
      <c r="G603" s="122" t="s">
        <v>770</v>
      </c>
      <c r="H603" s="170">
        <v>4680000</v>
      </c>
      <c r="I603" s="168" t="s">
        <v>1200</v>
      </c>
      <c r="J603" s="168" t="s">
        <v>770</v>
      </c>
    </row>
    <row r="604" spans="2:10" ht="12" x14ac:dyDescent="0.15">
      <c r="B604" s="121">
        <v>13</v>
      </c>
      <c r="C604" s="167" t="s">
        <v>70</v>
      </c>
      <c r="D604" s="168" t="s">
        <v>1208</v>
      </c>
      <c r="E604" s="168" t="s">
        <v>770</v>
      </c>
      <c r="F604" s="169" t="s">
        <v>770</v>
      </c>
      <c r="G604" s="122" t="s">
        <v>770</v>
      </c>
      <c r="H604" s="170">
        <v>351000</v>
      </c>
      <c r="I604" s="168" t="s">
        <v>1200</v>
      </c>
      <c r="J604" s="168" t="s">
        <v>770</v>
      </c>
    </row>
    <row r="605" spans="2:10" ht="12" x14ac:dyDescent="0.15">
      <c r="B605" s="121">
        <v>13</v>
      </c>
      <c r="C605" s="167" t="s">
        <v>70</v>
      </c>
      <c r="D605" s="168" t="s">
        <v>1209</v>
      </c>
      <c r="E605" s="168" t="s">
        <v>770</v>
      </c>
      <c r="F605" s="169" t="s">
        <v>770</v>
      </c>
      <c r="G605" s="122" t="s">
        <v>770</v>
      </c>
      <c r="H605" s="170">
        <v>1450000</v>
      </c>
      <c r="I605" s="168" t="s">
        <v>1200</v>
      </c>
      <c r="J605" s="168" t="s">
        <v>770</v>
      </c>
    </row>
    <row r="606" spans="2:10" ht="12" x14ac:dyDescent="0.15">
      <c r="B606" s="121">
        <v>13</v>
      </c>
      <c r="C606" s="167" t="s">
        <v>70</v>
      </c>
      <c r="D606" s="168" t="s">
        <v>1210</v>
      </c>
      <c r="E606" s="168" t="s">
        <v>770</v>
      </c>
      <c r="F606" s="169" t="s">
        <v>770</v>
      </c>
      <c r="G606" s="122" t="s">
        <v>770</v>
      </c>
      <c r="H606" s="170">
        <v>41854000</v>
      </c>
      <c r="I606" s="168" t="s">
        <v>1200</v>
      </c>
      <c r="J606" s="168" t="s">
        <v>770</v>
      </c>
    </row>
    <row r="607" spans="2:10" ht="12" x14ac:dyDescent="0.15">
      <c r="B607" s="121">
        <v>13</v>
      </c>
      <c r="C607" s="167" t="s">
        <v>70</v>
      </c>
      <c r="D607" s="168" t="s">
        <v>1211</v>
      </c>
      <c r="E607" s="168" t="s">
        <v>770</v>
      </c>
      <c r="F607" s="169" t="s">
        <v>770</v>
      </c>
      <c r="G607" s="122" t="s">
        <v>770</v>
      </c>
      <c r="H607" s="170">
        <v>20000000</v>
      </c>
      <c r="I607" s="168" t="s">
        <v>1200</v>
      </c>
      <c r="J607" s="168" t="s">
        <v>770</v>
      </c>
    </row>
    <row r="608" spans="2:10" ht="12" x14ac:dyDescent="0.15">
      <c r="B608" s="121">
        <v>13</v>
      </c>
      <c r="C608" s="167" t="s">
        <v>70</v>
      </c>
      <c r="D608" s="168" t="s">
        <v>1211</v>
      </c>
      <c r="E608" s="168" t="s">
        <v>770</v>
      </c>
      <c r="F608" s="169" t="s">
        <v>770</v>
      </c>
      <c r="G608" s="122" t="s">
        <v>770</v>
      </c>
      <c r="H608" s="170">
        <v>2000000</v>
      </c>
      <c r="I608" s="168" t="s">
        <v>1200</v>
      </c>
      <c r="J608" s="168" t="s">
        <v>770</v>
      </c>
    </row>
    <row r="609" spans="2:10" ht="12" x14ac:dyDescent="0.15">
      <c r="B609" s="121">
        <v>13</v>
      </c>
      <c r="C609" s="167" t="s">
        <v>70</v>
      </c>
      <c r="D609" s="168" t="s">
        <v>1211</v>
      </c>
      <c r="E609" s="168" t="s">
        <v>770</v>
      </c>
      <c r="F609" s="169" t="s">
        <v>770</v>
      </c>
      <c r="G609" s="122" t="s">
        <v>770</v>
      </c>
      <c r="H609" s="170">
        <v>360000</v>
      </c>
      <c r="I609" s="168" t="s">
        <v>1200</v>
      </c>
      <c r="J609" s="168" t="s">
        <v>770</v>
      </c>
    </row>
    <row r="610" spans="2:10" ht="12" x14ac:dyDescent="0.15">
      <c r="B610" s="121">
        <v>13</v>
      </c>
      <c r="C610" s="167" t="s">
        <v>70</v>
      </c>
      <c r="D610" s="168" t="s">
        <v>1211</v>
      </c>
      <c r="E610" s="168" t="s">
        <v>770</v>
      </c>
      <c r="F610" s="169" t="s">
        <v>770</v>
      </c>
      <c r="G610" s="122" t="s">
        <v>770</v>
      </c>
      <c r="H610" s="170">
        <v>25800000</v>
      </c>
      <c r="I610" s="168" t="s">
        <v>1200</v>
      </c>
      <c r="J610" s="168" t="s">
        <v>770</v>
      </c>
    </row>
    <row r="611" spans="2:10" ht="12" x14ac:dyDescent="0.15">
      <c r="B611" s="121">
        <v>13</v>
      </c>
      <c r="C611" s="167" t="s">
        <v>70</v>
      </c>
      <c r="D611" s="168" t="s">
        <v>1211</v>
      </c>
      <c r="E611" s="168" t="s">
        <v>770</v>
      </c>
      <c r="F611" s="169" t="s">
        <v>770</v>
      </c>
      <c r="G611" s="122" t="s">
        <v>770</v>
      </c>
      <c r="H611" s="170">
        <v>20000000</v>
      </c>
      <c r="I611" s="168" t="s">
        <v>1200</v>
      </c>
      <c r="J611" s="168" t="s">
        <v>770</v>
      </c>
    </row>
    <row r="612" spans="2:10" ht="12" x14ac:dyDescent="0.15">
      <c r="B612" s="121">
        <v>13</v>
      </c>
      <c r="C612" s="167" t="s">
        <v>70</v>
      </c>
      <c r="D612" s="168" t="s">
        <v>1212</v>
      </c>
      <c r="E612" s="168" t="s">
        <v>770</v>
      </c>
      <c r="F612" s="169" t="s">
        <v>770</v>
      </c>
      <c r="G612" s="122" t="s">
        <v>770</v>
      </c>
      <c r="H612" s="170">
        <v>4460000</v>
      </c>
      <c r="I612" s="168" t="s">
        <v>1200</v>
      </c>
      <c r="J612" s="168" t="s">
        <v>770</v>
      </c>
    </row>
    <row r="613" spans="2:10" ht="12" x14ac:dyDescent="0.15">
      <c r="B613" s="121">
        <v>13</v>
      </c>
      <c r="C613" s="167" t="s">
        <v>70</v>
      </c>
      <c r="D613" s="168" t="s">
        <v>770</v>
      </c>
      <c r="E613" s="168" t="s">
        <v>770</v>
      </c>
      <c r="F613" s="169" t="s">
        <v>770</v>
      </c>
      <c r="G613" s="122" t="s">
        <v>770</v>
      </c>
      <c r="H613" s="170">
        <v>-2230000</v>
      </c>
      <c r="I613" s="168" t="s">
        <v>1200</v>
      </c>
      <c r="J613" s="168" t="s">
        <v>770</v>
      </c>
    </row>
    <row r="614" spans="2:10" ht="12" x14ac:dyDescent="0.15">
      <c r="B614" s="121">
        <v>13</v>
      </c>
      <c r="C614" s="167" t="s">
        <v>70</v>
      </c>
      <c r="D614" s="168" t="s">
        <v>770</v>
      </c>
      <c r="E614" s="168" t="s">
        <v>770</v>
      </c>
      <c r="F614" s="169" t="s">
        <v>770</v>
      </c>
      <c r="G614" s="122" t="s">
        <v>770</v>
      </c>
      <c r="H614" s="170">
        <v>2230000</v>
      </c>
      <c r="I614" s="168" t="s">
        <v>1200</v>
      </c>
      <c r="J614" s="168" t="s">
        <v>770</v>
      </c>
    </row>
    <row r="615" spans="2:10" ht="12" x14ac:dyDescent="0.15">
      <c r="B615" s="121">
        <v>13</v>
      </c>
      <c r="C615" s="167" t="s">
        <v>70</v>
      </c>
      <c r="D615" s="168" t="s">
        <v>1213</v>
      </c>
      <c r="E615" s="168" t="s">
        <v>770</v>
      </c>
      <c r="F615" s="169" t="s">
        <v>770</v>
      </c>
      <c r="G615" s="122" t="s">
        <v>770</v>
      </c>
      <c r="H615" s="170">
        <v>6000000</v>
      </c>
      <c r="I615" s="168" t="s">
        <v>1200</v>
      </c>
      <c r="J615" s="168" t="s">
        <v>770</v>
      </c>
    </row>
    <row r="616" spans="2:10" ht="12" x14ac:dyDescent="0.15">
      <c r="B616" s="121">
        <v>13</v>
      </c>
      <c r="C616" s="167" t="s">
        <v>70</v>
      </c>
      <c r="D616" s="168" t="s">
        <v>1214</v>
      </c>
      <c r="E616" s="168" t="s">
        <v>770</v>
      </c>
      <c r="F616" s="169" t="s">
        <v>770</v>
      </c>
      <c r="G616" s="122" t="s">
        <v>770</v>
      </c>
      <c r="H616" s="170">
        <v>4500000</v>
      </c>
      <c r="I616" s="168" t="s">
        <v>1200</v>
      </c>
      <c r="J616" s="168" t="s">
        <v>770</v>
      </c>
    </row>
    <row r="617" spans="2:10" ht="12" x14ac:dyDescent="0.15">
      <c r="B617" s="121">
        <v>13</v>
      </c>
      <c r="C617" s="167" t="s">
        <v>70</v>
      </c>
      <c r="D617" s="168" t="s">
        <v>1211</v>
      </c>
      <c r="E617" s="168" t="s">
        <v>770</v>
      </c>
      <c r="F617" s="169" t="s">
        <v>770</v>
      </c>
      <c r="G617" s="122" t="s">
        <v>770</v>
      </c>
      <c r="H617" s="170">
        <v>-25800000</v>
      </c>
      <c r="I617" s="168" t="s">
        <v>1200</v>
      </c>
      <c r="J617" s="168" t="s">
        <v>770</v>
      </c>
    </row>
    <row r="618" spans="2:10" ht="12" x14ac:dyDescent="0.15">
      <c r="B618" s="121">
        <v>13</v>
      </c>
      <c r="C618" s="167" t="s">
        <v>70</v>
      </c>
      <c r="D618" s="168" t="s">
        <v>1211</v>
      </c>
      <c r="E618" s="168" t="s">
        <v>770</v>
      </c>
      <c r="F618" s="169" t="s">
        <v>770</v>
      </c>
      <c r="G618" s="122" t="s">
        <v>770</v>
      </c>
      <c r="H618" s="170">
        <v>-20000000</v>
      </c>
      <c r="I618" s="168" t="s">
        <v>1200</v>
      </c>
      <c r="J618" s="168" t="s">
        <v>770</v>
      </c>
    </row>
    <row r="619" spans="2:10" ht="12" x14ac:dyDescent="0.15">
      <c r="B619" s="121">
        <v>13</v>
      </c>
      <c r="C619" s="167" t="s">
        <v>70</v>
      </c>
      <c r="D619" s="168" t="s">
        <v>1212</v>
      </c>
      <c r="E619" s="168" t="s">
        <v>770</v>
      </c>
      <c r="F619" s="169" t="s">
        <v>770</v>
      </c>
      <c r="G619" s="122" t="s">
        <v>770</v>
      </c>
      <c r="H619" s="170">
        <v>-4460000</v>
      </c>
      <c r="I619" s="168" t="s">
        <v>1200</v>
      </c>
      <c r="J619" s="168" t="s">
        <v>770</v>
      </c>
    </row>
    <row r="620" spans="2:10" ht="12" x14ac:dyDescent="0.15">
      <c r="B620" s="121">
        <v>13</v>
      </c>
      <c r="C620" s="167" t="s">
        <v>70</v>
      </c>
      <c r="D620" s="168" t="s">
        <v>770</v>
      </c>
      <c r="E620" s="168" t="s">
        <v>770</v>
      </c>
      <c r="F620" s="169" t="s">
        <v>770</v>
      </c>
      <c r="G620" s="122" t="s">
        <v>770</v>
      </c>
      <c r="H620" s="170">
        <v>-2230000</v>
      </c>
      <c r="I620" s="168" t="s">
        <v>1200</v>
      </c>
      <c r="J620" s="168" t="s">
        <v>770</v>
      </c>
    </row>
    <row r="621" spans="2:10" ht="12" x14ac:dyDescent="0.15">
      <c r="B621" s="121">
        <v>13</v>
      </c>
      <c r="C621" s="167" t="s">
        <v>70</v>
      </c>
      <c r="D621" s="168" t="s">
        <v>1213</v>
      </c>
      <c r="E621" s="168" t="s">
        <v>770</v>
      </c>
      <c r="F621" s="169" t="s">
        <v>770</v>
      </c>
      <c r="G621" s="122" t="s">
        <v>770</v>
      </c>
      <c r="H621" s="170">
        <v>-6000000</v>
      </c>
      <c r="I621" s="168" t="s">
        <v>1200</v>
      </c>
      <c r="J621" s="168" t="s">
        <v>770</v>
      </c>
    </row>
    <row r="622" spans="2:10" ht="12" x14ac:dyDescent="0.15">
      <c r="B622" s="121">
        <v>13</v>
      </c>
      <c r="C622" s="167" t="s">
        <v>70</v>
      </c>
      <c r="D622" s="168" t="s">
        <v>1214</v>
      </c>
      <c r="E622" s="168" t="s">
        <v>770</v>
      </c>
      <c r="F622" s="169" t="s">
        <v>770</v>
      </c>
      <c r="G622" s="122" t="s">
        <v>770</v>
      </c>
      <c r="H622" s="170">
        <v>-4500000</v>
      </c>
      <c r="I622" s="168" t="s">
        <v>1200</v>
      </c>
      <c r="J622" s="168" t="s">
        <v>770</v>
      </c>
    </row>
    <row r="623" spans="2:10" ht="12" x14ac:dyDescent="0.15">
      <c r="B623" s="121">
        <v>13</v>
      </c>
      <c r="C623" s="167" t="s">
        <v>70</v>
      </c>
      <c r="D623" s="168" t="s">
        <v>770</v>
      </c>
      <c r="E623" s="168" t="s">
        <v>770</v>
      </c>
      <c r="F623" s="169" t="s">
        <v>770</v>
      </c>
      <c r="G623" s="122" t="s">
        <v>770</v>
      </c>
      <c r="H623" s="170">
        <v>2230000</v>
      </c>
      <c r="I623" s="168" t="s">
        <v>1200</v>
      </c>
      <c r="J623" s="168" t="s">
        <v>770</v>
      </c>
    </row>
    <row r="624" spans="2:10" ht="12" x14ac:dyDescent="0.15">
      <c r="B624" s="121">
        <v>13</v>
      </c>
      <c r="C624" s="167" t="s">
        <v>70</v>
      </c>
      <c r="D624" s="168" t="s">
        <v>770</v>
      </c>
      <c r="E624" s="168" t="s">
        <v>770</v>
      </c>
      <c r="F624" s="169" t="s">
        <v>770</v>
      </c>
      <c r="G624" s="122" t="s">
        <v>770</v>
      </c>
      <c r="H624" s="170">
        <v>57182400</v>
      </c>
      <c r="I624" s="168" t="s">
        <v>1200</v>
      </c>
      <c r="J624" s="168" t="s">
        <v>770</v>
      </c>
    </row>
    <row r="625" spans="2:10" ht="12" x14ac:dyDescent="0.15">
      <c r="B625" s="121">
        <v>13</v>
      </c>
      <c r="C625" s="167" t="s">
        <v>70</v>
      </c>
      <c r="D625" s="168" t="s">
        <v>1215</v>
      </c>
      <c r="E625" s="168" t="s">
        <v>770</v>
      </c>
      <c r="F625" s="169" t="s">
        <v>770</v>
      </c>
      <c r="G625" s="122" t="s">
        <v>770</v>
      </c>
      <c r="H625" s="170">
        <v>-57182400</v>
      </c>
      <c r="I625" s="168" t="s">
        <v>1200</v>
      </c>
      <c r="J625" s="168" t="s">
        <v>770</v>
      </c>
    </row>
    <row r="626" spans="2:10" ht="12" x14ac:dyDescent="0.15">
      <c r="B626" s="121">
        <v>13</v>
      </c>
      <c r="C626" s="167" t="s">
        <v>70</v>
      </c>
      <c r="D626" s="168" t="s">
        <v>770</v>
      </c>
      <c r="E626" s="168" t="s">
        <v>770</v>
      </c>
      <c r="F626" s="169" t="s">
        <v>770</v>
      </c>
      <c r="G626" s="122" t="s">
        <v>770</v>
      </c>
      <c r="H626" s="170">
        <v>50585000</v>
      </c>
      <c r="I626" s="168" t="s">
        <v>1200</v>
      </c>
      <c r="J626" s="168" t="s">
        <v>770</v>
      </c>
    </row>
    <row r="627" spans="2:10" ht="12" x14ac:dyDescent="0.15">
      <c r="B627" s="121">
        <v>13</v>
      </c>
      <c r="C627" s="167" t="s">
        <v>70</v>
      </c>
      <c r="D627" s="168" t="s">
        <v>1216</v>
      </c>
      <c r="E627" s="168" t="s">
        <v>770</v>
      </c>
      <c r="F627" s="169" t="s">
        <v>770</v>
      </c>
      <c r="G627" s="122" t="s">
        <v>770</v>
      </c>
      <c r="H627" s="170">
        <v>20000000</v>
      </c>
      <c r="I627" s="168" t="s">
        <v>1200</v>
      </c>
      <c r="J627" s="168" t="s">
        <v>770</v>
      </c>
    </row>
    <row r="628" spans="2:10" ht="12" x14ac:dyDescent="0.15">
      <c r="B628" s="121">
        <v>13</v>
      </c>
      <c r="C628" s="167" t="s">
        <v>70</v>
      </c>
      <c r="D628" s="168" t="s">
        <v>1217</v>
      </c>
      <c r="E628" s="168" t="s">
        <v>770</v>
      </c>
      <c r="F628" s="169" t="s">
        <v>770</v>
      </c>
      <c r="G628" s="122" t="s">
        <v>770</v>
      </c>
      <c r="H628" s="170">
        <v>2700000</v>
      </c>
      <c r="I628" s="168" t="s">
        <v>1200</v>
      </c>
      <c r="J628" s="168" t="s">
        <v>770</v>
      </c>
    </row>
    <row r="629" spans="2:10" ht="12" x14ac:dyDescent="0.15">
      <c r="B629" s="121">
        <v>13</v>
      </c>
      <c r="C629" s="167" t="s">
        <v>70</v>
      </c>
      <c r="D629" s="168" t="s">
        <v>1218</v>
      </c>
      <c r="E629" s="168" t="s">
        <v>770</v>
      </c>
      <c r="F629" s="169" t="s">
        <v>770</v>
      </c>
      <c r="G629" s="122" t="s">
        <v>770</v>
      </c>
      <c r="H629" s="170">
        <v>2700000</v>
      </c>
      <c r="I629" s="168" t="s">
        <v>1200</v>
      </c>
      <c r="J629" s="168" t="s">
        <v>770</v>
      </c>
    </row>
    <row r="630" spans="2:10" ht="12" x14ac:dyDescent="0.15">
      <c r="B630" s="121">
        <v>13</v>
      </c>
      <c r="C630" s="167" t="s">
        <v>70</v>
      </c>
      <c r="D630" s="168" t="s">
        <v>1219</v>
      </c>
      <c r="E630" s="168" t="s">
        <v>770</v>
      </c>
      <c r="F630" s="169" t="s">
        <v>770</v>
      </c>
      <c r="G630" s="122" t="s">
        <v>770</v>
      </c>
      <c r="H630" s="170">
        <v>2700000</v>
      </c>
      <c r="I630" s="168" t="s">
        <v>1200</v>
      </c>
      <c r="J630" s="168" t="s">
        <v>770</v>
      </c>
    </row>
    <row r="631" spans="2:10" ht="12" x14ac:dyDescent="0.15">
      <c r="B631" s="121">
        <v>13</v>
      </c>
      <c r="C631" s="167" t="s">
        <v>70</v>
      </c>
      <c r="D631" s="168" t="s">
        <v>770</v>
      </c>
      <c r="E631" s="168" t="s">
        <v>770</v>
      </c>
      <c r="F631" s="169" t="s">
        <v>770</v>
      </c>
      <c r="G631" s="122" t="s">
        <v>770</v>
      </c>
      <c r="H631" s="170">
        <v>-50585000</v>
      </c>
      <c r="I631" s="168" t="s">
        <v>1200</v>
      </c>
      <c r="J631" s="168" t="s">
        <v>770</v>
      </c>
    </row>
    <row r="632" spans="2:10" ht="12" x14ac:dyDescent="0.15">
      <c r="B632" s="121">
        <v>13</v>
      </c>
      <c r="C632" s="167" t="s">
        <v>70</v>
      </c>
      <c r="D632" s="168" t="s">
        <v>1216</v>
      </c>
      <c r="E632" s="168" t="s">
        <v>770</v>
      </c>
      <c r="F632" s="169" t="s">
        <v>770</v>
      </c>
      <c r="G632" s="122" t="s">
        <v>770</v>
      </c>
      <c r="H632" s="170">
        <v>-20000000</v>
      </c>
      <c r="I632" s="168" t="s">
        <v>1200</v>
      </c>
      <c r="J632" s="168" t="s">
        <v>770</v>
      </c>
    </row>
    <row r="633" spans="2:10" ht="12" x14ac:dyDescent="0.15">
      <c r="B633" s="121">
        <v>13</v>
      </c>
      <c r="C633" s="167" t="s">
        <v>70</v>
      </c>
      <c r="D633" s="168" t="s">
        <v>770</v>
      </c>
      <c r="E633" s="168" t="s">
        <v>770</v>
      </c>
      <c r="F633" s="169" t="s">
        <v>770</v>
      </c>
      <c r="G633" s="122" t="s">
        <v>770</v>
      </c>
      <c r="H633" s="170">
        <v>936322</v>
      </c>
      <c r="I633" s="168" t="s">
        <v>1200</v>
      </c>
      <c r="J633" s="168" t="s">
        <v>770</v>
      </c>
    </row>
    <row r="634" spans="2:10" ht="12" x14ac:dyDescent="0.15">
      <c r="B634" s="121">
        <v>13</v>
      </c>
      <c r="C634" s="167" t="s">
        <v>70</v>
      </c>
      <c r="D634" s="168" t="s">
        <v>1217</v>
      </c>
      <c r="E634" s="168" t="s">
        <v>770</v>
      </c>
      <c r="F634" s="169" t="s">
        <v>770</v>
      </c>
      <c r="G634" s="122" t="s">
        <v>770</v>
      </c>
      <c r="H634" s="170">
        <v>-2700000</v>
      </c>
      <c r="I634" s="168" t="s">
        <v>1200</v>
      </c>
      <c r="J634" s="168" t="s">
        <v>770</v>
      </c>
    </row>
    <row r="635" spans="2:10" ht="12" x14ac:dyDescent="0.15">
      <c r="B635" s="121">
        <v>13</v>
      </c>
      <c r="C635" s="167" t="s">
        <v>70</v>
      </c>
      <c r="D635" s="168" t="s">
        <v>1218</v>
      </c>
      <c r="E635" s="168" t="s">
        <v>770</v>
      </c>
      <c r="F635" s="169" t="s">
        <v>770</v>
      </c>
      <c r="G635" s="122" t="s">
        <v>770</v>
      </c>
      <c r="H635" s="170">
        <v>-2700000</v>
      </c>
      <c r="I635" s="168" t="s">
        <v>1200</v>
      </c>
      <c r="J635" s="168" t="s">
        <v>770</v>
      </c>
    </row>
    <row r="636" spans="2:10" ht="12" x14ac:dyDescent="0.15">
      <c r="B636" s="121">
        <v>13</v>
      </c>
      <c r="C636" s="167" t="s">
        <v>70</v>
      </c>
      <c r="D636" s="168" t="s">
        <v>1219</v>
      </c>
      <c r="E636" s="168" t="s">
        <v>770</v>
      </c>
      <c r="F636" s="169" t="s">
        <v>770</v>
      </c>
      <c r="G636" s="122" t="s">
        <v>770</v>
      </c>
      <c r="H636" s="170">
        <v>-2700000</v>
      </c>
      <c r="I636" s="168" t="s">
        <v>1200</v>
      </c>
      <c r="J636" s="168" t="s">
        <v>770</v>
      </c>
    </row>
    <row r="637" spans="2:10" ht="12" x14ac:dyDescent="0.15">
      <c r="B637" s="121">
        <v>13</v>
      </c>
      <c r="C637" s="167" t="s">
        <v>70</v>
      </c>
      <c r="D637" s="168" t="s">
        <v>1220</v>
      </c>
      <c r="E637" s="168" t="s">
        <v>770</v>
      </c>
      <c r="F637" s="169" t="s">
        <v>770</v>
      </c>
      <c r="G637" s="122" t="s">
        <v>770</v>
      </c>
      <c r="H637" s="170">
        <v>-936322</v>
      </c>
      <c r="I637" s="168" t="s">
        <v>1200</v>
      </c>
      <c r="J637" s="168" t="s">
        <v>770</v>
      </c>
    </row>
    <row r="638" spans="2:10" ht="12" x14ac:dyDescent="0.15">
      <c r="B638" s="121">
        <v>13</v>
      </c>
      <c r="C638" s="167" t="s">
        <v>70</v>
      </c>
      <c r="D638" s="168" t="s">
        <v>1221</v>
      </c>
      <c r="E638" s="168" t="s">
        <v>770</v>
      </c>
      <c r="F638" s="169" t="s">
        <v>770</v>
      </c>
      <c r="G638" s="122" t="s">
        <v>770</v>
      </c>
      <c r="H638" s="170">
        <v>1458000</v>
      </c>
      <c r="I638" s="168" t="s">
        <v>1200</v>
      </c>
      <c r="J638" s="168" t="s">
        <v>770</v>
      </c>
    </row>
    <row r="639" spans="2:10" ht="12" x14ac:dyDescent="0.15">
      <c r="B639" s="121">
        <v>13</v>
      </c>
      <c r="C639" s="167" t="s">
        <v>70</v>
      </c>
      <c r="D639" s="168" t="s">
        <v>1222</v>
      </c>
      <c r="E639" s="168" t="s">
        <v>770</v>
      </c>
      <c r="F639" s="169" t="s">
        <v>770</v>
      </c>
      <c r="G639" s="122" t="s">
        <v>770</v>
      </c>
      <c r="H639" s="170">
        <v>1458000</v>
      </c>
      <c r="I639" s="168" t="s">
        <v>1200</v>
      </c>
      <c r="J639" s="168" t="s">
        <v>770</v>
      </c>
    </row>
    <row r="640" spans="2:10" ht="12" x14ac:dyDescent="0.15">
      <c r="B640" s="121">
        <v>13</v>
      </c>
      <c r="C640" s="167" t="s">
        <v>70</v>
      </c>
      <c r="D640" s="168" t="s">
        <v>1223</v>
      </c>
      <c r="E640" s="168" t="s">
        <v>770</v>
      </c>
      <c r="F640" s="169" t="s">
        <v>770</v>
      </c>
      <c r="G640" s="122" t="s">
        <v>770</v>
      </c>
      <c r="H640" s="170">
        <v>1458000</v>
      </c>
      <c r="I640" s="168" t="s">
        <v>1200</v>
      </c>
      <c r="J640" s="168" t="s">
        <v>770</v>
      </c>
    </row>
    <row r="641" spans="2:10" ht="12" x14ac:dyDescent="0.15">
      <c r="B641" s="121">
        <v>13</v>
      </c>
      <c r="C641" s="167" t="s">
        <v>70</v>
      </c>
      <c r="D641" s="168" t="s">
        <v>1211</v>
      </c>
      <c r="E641" s="168" t="s">
        <v>770</v>
      </c>
      <c r="F641" s="169" t="s">
        <v>770</v>
      </c>
      <c r="G641" s="122" t="s">
        <v>770</v>
      </c>
      <c r="H641" s="170">
        <v>1458000</v>
      </c>
      <c r="I641" s="168" t="s">
        <v>1200</v>
      </c>
      <c r="J641" s="168" t="s">
        <v>770</v>
      </c>
    </row>
    <row r="642" spans="2:10" ht="12" x14ac:dyDescent="0.15">
      <c r="B642" s="121">
        <v>13</v>
      </c>
      <c r="C642" s="167" t="s">
        <v>70</v>
      </c>
      <c r="D642" s="168" t="s">
        <v>1224</v>
      </c>
      <c r="E642" s="168" t="s">
        <v>770</v>
      </c>
      <c r="F642" s="169" t="s">
        <v>770</v>
      </c>
      <c r="G642" s="122" t="s">
        <v>770</v>
      </c>
      <c r="H642" s="170">
        <v>6445000</v>
      </c>
      <c r="I642" s="168" t="s">
        <v>1200</v>
      </c>
      <c r="J642" s="168" t="s">
        <v>770</v>
      </c>
    </row>
    <row r="643" spans="2:10" ht="12" x14ac:dyDescent="0.15">
      <c r="B643" s="121">
        <v>13</v>
      </c>
      <c r="C643" s="167" t="s">
        <v>70</v>
      </c>
      <c r="D643" s="168" t="s">
        <v>1224</v>
      </c>
      <c r="E643" s="168" t="s">
        <v>770</v>
      </c>
      <c r="F643" s="169" t="s">
        <v>770</v>
      </c>
      <c r="G643" s="122" t="s">
        <v>770</v>
      </c>
      <c r="H643" s="170">
        <v>8240000</v>
      </c>
      <c r="I643" s="168" t="s">
        <v>1200</v>
      </c>
      <c r="J643" s="168" t="s">
        <v>770</v>
      </c>
    </row>
    <row r="644" spans="2:10" ht="12" x14ac:dyDescent="0.15">
      <c r="B644" s="121">
        <v>13</v>
      </c>
      <c r="C644" s="167" t="s">
        <v>70</v>
      </c>
      <c r="D644" s="168" t="s">
        <v>770</v>
      </c>
      <c r="E644" s="168" t="s">
        <v>770</v>
      </c>
      <c r="F644" s="169" t="s">
        <v>770</v>
      </c>
      <c r="G644" s="122" t="s">
        <v>770</v>
      </c>
      <c r="H644" s="170">
        <v>3821833</v>
      </c>
      <c r="I644" s="168" t="s">
        <v>1200</v>
      </c>
      <c r="J644" s="168" t="s">
        <v>770</v>
      </c>
    </row>
    <row r="645" spans="2:10" ht="12" x14ac:dyDescent="0.15">
      <c r="B645" s="121">
        <v>13</v>
      </c>
      <c r="C645" s="167" t="s">
        <v>70</v>
      </c>
      <c r="D645" s="168" t="s">
        <v>1221</v>
      </c>
      <c r="E645" s="168" t="s">
        <v>770</v>
      </c>
      <c r="F645" s="169" t="s">
        <v>770</v>
      </c>
      <c r="G645" s="122" t="s">
        <v>770</v>
      </c>
      <c r="H645" s="170">
        <v>-1458000</v>
      </c>
      <c r="I645" s="168" t="s">
        <v>1200</v>
      </c>
      <c r="J645" s="168" t="s">
        <v>770</v>
      </c>
    </row>
    <row r="646" spans="2:10" ht="12" x14ac:dyDescent="0.15">
      <c r="B646" s="121">
        <v>13</v>
      </c>
      <c r="C646" s="167" t="s">
        <v>70</v>
      </c>
      <c r="D646" s="168" t="s">
        <v>1222</v>
      </c>
      <c r="E646" s="168" t="s">
        <v>770</v>
      </c>
      <c r="F646" s="169" t="s">
        <v>770</v>
      </c>
      <c r="G646" s="122" t="s">
        <v>770</v>
      </c>
      <c r="H646" s="170">
        <v>-1458000</v>
      </c>
      <c r="I646" s="168" t="s">
        <v>1200</v>
      </c>
      <c r="J646" s="168" t="s">
        <v>770</v>
      </c>
    </row>
    <row r="647" spans="2:10" ht="12" x14ac:dyDescent="0.15">
      <c r="B647" s="121">
        <v>13</v>
      </c>
      <c r="C647" s="167" t="s">
        <v>70</v>
      </c>
      <c r="D647" s="168" t="s">
        <v>1223</v>
      </c>
      <c r="E647" s="168" t="s">
        <v>770</v>
      </c>
      <c r="F647" s="169" t="s">
        <v>770</v>
      </c>
      <c r="G647" s="122" t="s">
        <v>770</v>
      </c>
      <c r="H647" s="170">
        <v>-1458000</v>
      </c>
      <c r="I647" s="168" t="s">
        <v>1200</v>
      </c>
      <c r="J647" s="168" t="s">
        <v>770</v>
      </c>
    </row>
    <row r="648" spans="2:10" ht="12" x14ac:dyDescent="0.15">
      <c r="B648" s="121">
        <v>13</v>
      </c>
      <c r="C648" s="167" t="s">
        <v>70</v>
      </c>
      <c r="D648" s="168" t="s">
        <v>1211</v>
      </c>
      <c r="E648" s="168" t="s">
        <v>770</v>
      </c>
      <c r="F648" s="169" t="s">
        <v>770</v>
      </c>
      <c r="G648" s="122" t="s">
        <v>770</v>
      </c>
      <c r="H648" s="170">
        <v>-1458000</v>
      </c>
      <c r="I648" s="168" t="s">
        <v>1200</v>
      </c>
      <c r="J648" s="168" t="s">
        <v>770</v>
      </c>
    </row>
    <row r="649" spans="2:10" ht="12" x14ac:dyDescent="0.15">
      <c r="B649" s="121">
        <v>13</v>
      </c>
      <c r="C649" s="167" t="s">
        <v>70</v>
      </c>
      <c r="D649" s="168" t="s">
        <v>1224</v>
      </c>
      <c r="E649" s="168" t="s">
        <v>770</v>
      </c>
      <c r="F649" s="169" t="s">
        <v>770</v>
      </c>
      <c r="G649" s="122" t="s">
        <v>770</v>
      </c>
      <c r="H649" s="170">
        <v>-6445000</v>
      </c>
      <c r="I649" s="168" t="s">
        <v>1200</v>
      </c>
      <c r="J649" s="168" t="s">
        <v>770</v>
      </c>
    </row>
    <row r="650" spans="2:10" ht="12" x14ac:dyDescent="0.15">
      <c r="B650" s="121">
        <v>13</v>
      </c>
      <c r="C650" s="167" t="s">
        <v>70</v>
      </c>
      <c r="D650" s="168" t="s">
        <v>1224</v>
      </c>
      <c r="E650" s="168" t="s">
        <v>770</v>
      </c>
      <c r="F650" s="169" t="s">
        <v>770</v>
      </c>
      <c r="G650" s="122" t="s">
        <v>770</v>
      </c>
      <c r="H650" s="170">
        <v>-8240000</v>
      </c>
      <c r="I650" s="168" t="s">
        <v>1200</v>
      </c>
      <c r="J650" s="168" t="s">
        <v>770</v>
      </c>
    </row>
    <row r="651" spans="2:10" ht="12" x14ac:dyDescent="0.15">
      <c r="B651" s="121">
        <v>13</v>
      </c>
      <c r="C651" s="167" t="s">
        <v>70</v>
      </c>
      <c r="D651" s="168" t="s">
        <v>1225</v>
      </c>
      <c r="E651" s="168" t="s">
        <v>770</v>
      </c>
      <c r="F651" s="169" t="s">
        <v>770</v>
      </c>
      <c r="G651" s="122" t="s">
        <v>770</v>
      </c>
      <c r="H651" s="170">
        <v>-3821833</v>
      </c>
      <c r="I651" s="168" t="s">
        <v>1200</v>
      </c>
      <c r="J651" s="168" t="s">
        <v>770</v>
      </c>
    </row>
    <row r="652" spans="2:10" ht="12" x14ac:dyDescent="0.15">
      <c r="B652" s="121">
        <v>13</v>
      </c>
      <c r="C652" s="167" t="s">
        <v>70</v>
      </c>
      <c r="D652" s="168" t="s">
        <v>1226</v>
      </c>
      <c r="E652" s="168" t="s">
        <v>770</v>
      </c>
      <c r="F652" s="169" t="s">
        <v>770</v>
      </c>
      <c r="G652" s="122" t="s">
        <v>770</v>
      </c>
      <c r="H652" s="170">
        <v>2700000</v>
      </c>
      <c r="I652" s="168" t="s">
        <v>1200</v>
      </c>
      <c r="J652" s="168" t="s">
        <v>770</v>
      </c>
    </row>
    <row r="653" spans="2:10" ht="12" x14ac:dyDescent="0.15">
      <c r="B653" s="121">
        <v>13</v>
      </c>
      <c r="C653" s="167" t="s">
        <v>70</v>
      </c>
      <c r="D653" s="168" t="s">
        <v>1227</v>
      </c>
      <c r="E653" s="168" t="s">
        <v>770</v>
      </c>
      <c r="F653" s="169" t="s">
        <v>770</v>
      </c>
      <c r="G653" s="122" t="s">
        <v>770</v>
      </c>
      <c r="H653" s="170">
        <v>2700000</v>
      </c>
      <c r="I653" s="168" t="s">
        <v>1200</v>
      </c>
      <c r="J653" s="168" t="s">
        <v>770</v>
      </c>
    </row>
    <row r="654" spans="2:10" ht="12" x14ac:dyDescent="0.15">
      <c r="B654" s="121">
        <v>13</v>
      </c>
      <c r="C654" s="167" t="s">
        <v>70</v>
      </c>
      <c r="D654" s="168" t="s">
        <v>1226</v>
      </c>
      <c r="E654" s="168" t="s">
        <v>770</v>
      </c>
      <c r="F654" s="169" t="s">
        <v>770</v>
      </c>
      <c r="G654" s="122" t="s">
        <v>770</v>
      </c>
      <c r="H654" s="170">
        <v>-2700000</v>
      </c>
      <c r="I654" s="168" t="s">
        <v>1200</v>
      </c>
      <c r="J654" s="168" t="s">
        <v>770</v>
      </c>
    </row>
    <row r="655" spans="2:10" ht="12" x14ac:dyDescent="0.15">
      <c r="B655" s="121">
        <v>13</v>
      </c>
      <c r="C655" s="167" t="s">
        <v>70</v>
      </c>
      <c r="D655" s="168" t="s">
        <v>1227</v>
      </c>
      <c r="E655" s="168" t="s">
        <v>770</v>
      </c>
      <c r="F655" s="169" t="s">
        <v>770</v>
      </c>
      <c r="G655" s="122" t="s">
        <v>770</v>
      </c>
      <c r="H655" s="170">
        <v>-2700000</v>
      </c>
      <c r="I655" s="168" t="s">
        <v>1200</v>
      </c>
      <c r="J655" s="168" t="s">
        <v>770</v>
      </c>
    </row>
    <row r="656" spans="2:10" ht="12" x14ac:dyDescent="0.15">
      <c r="B656" s="121">
        <v>13</v>
      </c>
      <c r="C656" s="167" t="s">
        <v>70</v>
      </c>
      <c r="D656" s="168" t="s">
        <v>1228</v>
      </c>
      <c r="E656" s="168" t="s">
        <v>770</v>
      </c>
      <c r="F656" s="169" t="s">
        <v>770</v>
      </c>
      <c r="G656" s="122" t="s">
        <v>770</v>
      </c>
      <c r="H656" s="170">
        <v>225000</v>
      </c>
      <c r="I656" s="168" t="s">
        <v>1200</v>
      </c>
      <c r="J656" s="168" t="s">
        <v>770</v>
      </c>
    </row>
    <row r="657" spans="2:10" ht="12" x14ac:dyDescent="0.15">
      <c r="B657" s="121">
        <v>13</v>
      </c>
      <c r="C657" s="167" t="s">
        <v>70</v>
      </c>
      <c r="D657" s="168" t="s">
        <v>1229</v>
      </c>
      <c r="E657" s="168" t="s">
        <v>770</v>
      </c>
      <c r="F657" s="169" t="s">
        <v>770</v>
      </c>
      <c r="G657" s="122" t="s">
        <v>770</v>
      </c>
      <c r="H657" s="170">
        <v>2700000</v>
      </c>
      <c r="I657" s="168" t="s">
        <v>1200</v>
      </c>
      <c r="J657" s="168" t="s">
        <v>770</v>
      </c>
    </row>
    <row r="658" spans="2:10" ht="12" x14ac:dyDescent="0.15">
      <c r="B658" s="121">
        <v>13</v>
      </c>
      <c r="C658" s="167" t="s">
        <v>70</v>
      </c>
      <c r="D658" s="168" t="s">
        <v>1211</v>
      </c>
      <c r="E658" s="168" t="s">
        <v>770</v>
      </c>
      <c r="F658" s="169" t="s">
        <v>770</v>
      </c>
      <c r="G658" s="122" t="s">
        <v>770</v>
      </c>
      <c r="H658" s="170">
        <v>3000000</v>
      </c>
      <c r="I658" s="168" t="s">
        <v>1200</v>
      </c>
      <c r="J658" s="168" t="s">
        <v>770</v>
      </c>
    </row>
    <row r="659" spans="2:10" ht="12" x14ac:dyDescent="0.15">
      <c r="B659" s="121">
        <v>13</v>
      </c>
      <c r="C659" s="167" t="s">
        <v>70</v>
      </c>
      <c r="D659" s="168" t="s">
        <v>1230</v>
      </c>
      <c r="E659" s="168" t="s">
        <v>770</v>
      </c>
      <c r="F659" s="169" t="s">
        <v>770</v>
      </c>
      <c r="G659" s="122" t="s">
        <v>770</v>
      </c>
      <c r="H659" s="170">
        <v>450000</v>
      </c>
      <c r="I659" s="168" t="s">
        <v>1200</v>
      </c>
      <c r="J659" s="168" t="s">
        <v>770</v>
      </c>
    </row>
    <row r="660" spans="2:10" ht="12" x14ac:dyDescent="0.15">
      <c r="B660" s="121">
        <v>13</v>
      </c>
      <c r="C660" s="167" t="s">
        <v>70</v>
      </c>
      <c r="D660" s="168" t="s">
        <v>770</v>
      </c>
      <c r="E660" s="168" t="s">
        <v>770</v>
      </c>
      <c r="F660" s="169" t="s">
        <v>770</v>
      </c>
      <c r="G660" s="122" t="s">
        <v>770</v>
      </c>
      <c r="H660" s="170">
        <v>1222209</v>
      </c>
      <c r="I660" s="168" t="s">
        <v>1200</v>
      </c>
      <c r="J660" s="168" t="s">
        <v>770</v>
      </c>
    </row>
    <row r="661" spans="2:10" ht="12" x14ac:dyDescent="0.15">
      <c r="B661" s="121">
        <v>13</v>
      </c>
      <c r="C661" s="167" t="s">
        <v>70</v>
      </c>
      <c r="D661" s="168" t="s">
        <v>1231</v>
      </c>
      <c r="E661" s="168" t="s">
        <v>770</v>
      </c>
      <c r="F661" s="169" t="s">
        <v>770</v>
      </c>
      <c r="G661" s="122" t="s">
        <v>770</v>
      </c>
      <c r="H661" s="170">
        <v>40000000</v>
      </c>
      <c r="I661" s="168" t="s">
        <v>1200</v>
      </c>
      <c r="J661" s="168" t="s">
        <v>770</v>
      </c>
    </row>
    <row r="662" spans="2:10" ht="12" x14ac:dyDescent="0.15">
      <c r="B662" s="121">
        <v>13</v>
      </c>
      <c r="C662" s="167" t="s">
        <v>70</v>
      </c>
      <c r="D662" s="168" t="s">
        <v>1232</v>
      </c>
      <c r="E662" s="168" t="s">
        <v>770</v>
      </c>
      <c r="F662" s="169" t="s">
        <v>770</v>
      </c>
      <c r="G662" s="122" t="s">
        <v>770</v>
      </c>
      <c r="H662" s="170">
        <v>60000000</v>
      </c>
      <c r="I662" s="168" t="s">
        <v>1200</v>
      </c>
      <c r="J662" s="168" t="s">
        <v>770</v>
      </c>
    </row>
    <row r="663" spans="2:10" ht="12" x14ac:dyDescent="0.15">
      <c r="B663" s="121">
        <v>13</v>
      </c>
      <c r="C663" s="167" t="s">
        <v>70</v>
      </c>
      <c r="D663" s="168" t="s">
        <v>1228</v>
      </c>
      <c r="E663" s="168" t="s">
        <v>770</v>
      </c>
      <c r="F663" s="169" t="s">
        <v>770</v>
      </c>
      <c r="G663" s="122" t="s">
        <v>770</v>
      </c>
      <c r="H663" s="170">
        <v>-225000</v>
      </c>
      <c r="I663" s="168" t="s">
        <v>1200</v>
      </c>
      <c r="J663" s="168" t="s">
        <v>770</v>
      </c>
    </row>
    <row r="664" spans="2:10" ht="12" x14ac:dyDescent="0.15">
      <c r="B664" s="121">
        <v>13</v>
      </c>
      <c r="C664" s="167" t="s">
        <v>70</v>
      </c>
      <c r="D664" s="168" t="s">
        <v>1229</v>
      </c>
      <c r="E664" s="168" t="s">
        <v>770</v>
      </c>
      <c r="F664" s="169" t="s">
        <v>770</v>
      </c>
      <c r="G664" s="122" t="s">
        <v>770</v>
      </c>
      <c r="H664" s="170">
        <v>-2700000</v>
      </c>
      <c r="I664" s="168" t="s">
        <v>1200</v>
      </c>
      <c r="J664" s="168" t="s">
        <v>770</v>
      </c>
    </row>
    <row r="665" spans="2:10" ht="12" x14ac:dyDescent="0.15">
      <c r="B665" s="121">
        <v>13</v>
      </c>
      <c r="C665" s="167" t="s">
        <v>70</v>
      </c>
      <c r="D665" s="168" t="s">
        <v>1211</v>
      </c>
      <c r="E665" s="168" t="s">
        <v>770</v>
      </c>
      <c r="F665" s="169" t="s">
        <v>770</v>
      </c>
      <c r="G665" s="122" t="s">
        <v>770</v>
      </c>
      <c r="H665" s="170">
        <v>-3000000</v>
      </c>
      <c r="I665" s="168" t="s">
        <v>1200</v>
      </c>
      <c r="J665" s="168" t="s">
        <v>770</v>
      </c>
    </row>
    <row r="666" spans="2:10" ht="12" x14ac:dyDescent="0.15">
      <c r="B666" s="121">
        <v>13</v>
      </c>
      <c r="C666" s="167" t="s">
        <v>70</v>
      </c>
      <c r="D666" s="168" t="s">
        <v>1230</v>
      </c>
      <c r="E666" s="168" t="s">
        <v>770</v>
      </c>
      <c r="F666" s="169" t="s">
        <v>770</v>
      </c>
      <c r="G666" s="122" t="s">
        <v>770</v>
      </c>
      <c r="H666" s="170">
        <v>-450000</v>
      </c>
      <c r="I666" s="168" t="s">
        <v>1200</v>
      </c>
      <c r="J666" s="168" t="s">
        <v>770</v>
      </c>
    </row>
    <row r="667" spans="2:10" ht="12" x14ac:dyDescent="0.15">
      <c r="B667" s="121">
        <v>13</v>
      </c>
      <c r="C667" s="167" t="s">
        <v>70</v>
      </c>
      <c r="D667" s="168" t="s">
        <v>1220</v>
      </c>
      <c r="E667" s="168" t="s">
        <v>770</v>
      </c>
      <c r="F667" s="169" t="s">
        <v>770</v>
      </c>
      <c r="G667" s="122" t="s">
        <v>770</v>
      </c>
      <c r="H667" s="170">
        <v>-1222209</v>
      </c>
      <c r="I667" s="168" t="s">
        <v>1200</v>
      </c>
      <c r="J667" s="168" t="s">
        <v>770</v>
      </c>
    </row>
    <row r="668" spans="2:10" ht="12" x14ac:dyDescent="0.15">
      <c r="B668" s="121">
        <v>13</v>
      </c>
      <c r="C668" s="167" t="s">
        <v>70</v>
      </c>
      <c r="D668" s="168" t="s">
        <v>1231</v>
      </c>
      <c r="E668" s="168" t="s">
        <v>770</v>
      </c>
      <c r="F668" s="169" t="s">
        <v>770</v>
      </c>
      <c r="G668" s="122" t="s">
        <v>770</v>
      </c>
      <c r="H668" s="170">
        <v>-40000000</v>
      </c>
      <c r="I668" s="168" t="s">
        <v>1200</v>
      </c>
      <c r="J668" s="168" t="s">
        <v>770</v>
      </c>
    </row>
    <row r="669" spans="2:10" ht="12" x14ac:dyDescent="0.15">
      <c r="B669" s="121">
        <v>13</v>
      </c>
      <c r="C669" s="167" t="s">
        <v>70</v>
      </c>
      <c r="D669" s="168" t="s">
        <v>1232</v>
      </c>
      <c r="E669" s="168" t="s">
        <v>770</v>
      </c>
      <c r="F669" s="169" t="s">
        <v>770</v>
      </c>
      <c r="G669" s="122" t="s">
        <v>770</v>
      </c>
      <c r="H669" s="170">
        <v>-60000000</v>
      </c>
      <c r="I669" s="168" t="s">
        <v>1200</v>
      </c>
      <c r="J669" s="168" t="s">
        <v>770</v>
      </c>
    </row>
    <row r="670" spans="2:10" ht="12" x14ac:dyDescent="0.15">
      <c r="B670" s="121">
        <v>13</v>
      </c>
      <c r="C670" s="167" t="s">
        <v>70</v>
      </c>
      <c r="D670" s="168" t="s">
        <v>1119</v>
      </c>
      <c r="E670" s="168" t="s">
        <v>770</v>
      </c>
      <c r="F670" s="169" t="s">
        <v>770</v>
      </c>
      <c r="G670" s="122" t="s">
        <v>770</v>
      </c>
      <c r="H670" s="170">
        <v>37813937</v>
      </c>
      <c r="I670" s="168" t="s">
        <v>1200</v>
      </c>
      <c r="J670" s="168" t="s">
        <v>770</v>
      </c>
    </row>
    <row r="671" spans="2:10" ht="12" x14ac:dyDescent="0.15">
      <c r="B671" s="121">
        <v>13</v>
      </c>
      <c r="C671" s="167" t="s">
        <v>70</v>
      </c>
      <c r="D671" s="168" t="s">
        <v>1119</v>
      </c>
      <c r="E671" s="168" t="s">
        <v>770</v>
      </c>
      <c r="F671" s="169" t="s">
        <v>770</v>
      </c>
      <c r="G671" s="122" t="s">
        <v>770</v>
      </c>
      <c r="H671" s="170">
        <v>-37813937</v>
      </c>
      <c r="I671" s="168" t="s">
        <v>1200</v>
      </c>
      <c r="J671" s="168" t="s">
        <v>770</v>
      </c>
    </row>
    <row r="672" spans="2:10" ht="12" x14ac:dyDescent="0.15">
      <c r="B672" s="121">
        <v>13</v>
      </c>
      <c r="C672" s="167" t="s">
        <v>70</v>
      </c>
      <c r="D672" s="168" t="s">
        <v>1233</v>
      </c>
      <c r="E672" s="168" t="s">
        <v>770</v>
      </c>
      <c r="F672" s="169" t="s">
        <v>770</v>
      </c>
      <c r="G672" s="122" t="s">
        <v>770</v>
      </c>
      <c r="H672" s="170">
        <v>1173000</v>
      </c>
      <c r="I672" s="168" t="s">
        <v>1200</v>
      </c>
      <c r="J672" s="168" t="s">
        <v>770</v>
      </c>
    </row>
    <row r="673" spans="2:10" ht="12" x14ac:dyDescent="0.15">
      <c r="B673" s="121">
        <v>13</v>
      </c>
      <c r="C673" s="167" t="s">
        <v>70</v>
      </c>
      <c r="D673" s="168" t="s">
        <v>1234</v>
      </c>
      <c r="E673" s="168" t="s">
        <v>770</v>
      </c>
      <c r="F673" s="169" t="s">
        <v>770</v>
      </c>
      <c r="G673" s="122" t="s">
        <v>770</v>
      </c>
      <c r="H673" s="170">
        <v>1320000</v>
      </c>
      <c r="I673" s="168" t="s">
        <v>1200</v>
      </c>
      <c r="J673" s="168" t="s">
        <v>770</v>
      </c>
    </row>
    <row r="674" spans="2:10" ht="12" x14ac:dyDescent="0.15">
      <c r="B674" s="121">
        <v>13</v>
      </c>
      <c r="C674" s="167" t="s">
        <v>70</v>
      </c>
      <c r="D674" s="168" t="s">
        <v>1235</v>
      </c>
      <c r="E674" s="168" t="s">
        <v>770</v>
      </c>
      <c r="F674" s="169" t="s">
        <v>770</v>
      </c>
      <c r="G674" s="122" t="s">
        <v>770</v>
      </c>
      <c r="H674" s="170">
        <v>500000</v>
      </c>
      <c r="I674" s="168" t="s">
        <v>1200</v>
      </c>
      <c r="J674" s="168" t="s">
        <v>770</v>
      </c>
    </row>
    <row r="675" spans="2:10" ht="12" x14ac:dyDescent="0.15">
      <c r="B675" s="121">
        <v>13</v>
      </c>
      <c r="C675" s="167" t="s">
        <v>70</v>
      </c>
      <c r="D675" s="168" t="s">
        <v>1236</v>
      </c>
      <c r="E675" s="168" t="s">
        <v>770</v>
      </c>
      <c r="F675" s="169" t="s">
        <v>770</v>
      </c>
      <c r="G675" s="122" t="s">
        <v>770</v>
      </c>
      <c r="H675" s="170">
        <v>1400000</v>
      </c>
      <c r="I675" s="168" t="s">
        <v>1200</v>
      </c>
      <c r="J675" s="168" t="s">
        <v>770</v>
      </c>
    </row>
    <row r="676" spans="2:10" ht="12" x14ac:dyDescent="0.15">
      <c r="B676" s="121">
        <v>13</v>
      </c>
      <c r="C676" s="167" t="s">
        <v>70</v>
      </c>
      <c r="D676" s="168" t="s">
        <v>1237</v>
      </c>
      <c r="E676" s="168" t="s">
        <v>770</v>
      </c>
      <c r="F676" s="169" t="s">
        <v>770</v>
      </c>
      <c r="G676" s="122" t="s">
        <v>770</v>
      </c>
      <c r="H676" s="170">
        <v>400000</v>
      </c>
      <c r="I676" s="168" t="s">
        <v>1200</v>
      </c>
      <c r="J676" s="168" t="s">
        <v>770</v>
      </c>
    </row>
    <row r="677" spans="2:10" ht="12" x14ac:dyDescent="0.15">
      <c r="B677" s="121">
        <v>13</v>
      </c>
      <c r="C677" s="167" t="s">
        <v>70</v>
      </c>
      <c r="D677" s="168" t="s">
        <v>1238</v>
      </c>
      <c r="E677" s="168" t="s">
        <v>770</v>
      </c>
      <c r="F677" s="169" t="s">
        <v>770</v>
      </c>
      <c r="G677" s="122" t="s">
        <v>770</v>
      </c>
      <c r="H677" s="170">
        <v>400000</v>
      </c>
      <c r="I677" s="168" t="s">
        <v>1200</v>
      </c>
      <c r="J677" s="168" t="s">
        <v>770</v>
      </c>
    </row>
    <row r="678" spans="2:10" ht="12" x14ac:dyDescent="0.15">
      <c r="B678" s="121">
        <v>13</v>
      </c>
      <c r="C678" s="167" t="s">
        <v>70</v>
      </c>
      <c r="D678" s="168" t="s">
        <v>1239</v>
      </c>
      <c r="E678" s="168" t="s">
        <v>770</v>
      </c>
      <c r="F678" s="169" t="s">
        <v>770</v>
      </c>
      <c r="G678" s="122" t="s">
        <v>770</v>
      </c>
      <c r="H678" s="170">
        <v>2800000</v>
      </c>
      <c r="I678" s="168" t="s">
        <v>1200</v>
      </c>
      <c r="J678" s="168" t="s">
        <v>770</v>
      </c>
    </row>
    <row r="679" spans="2:10" ht="12" x14ac:dyDescent="0.15">
      <c r="B679" s="121">
        <v>13</v>
      </c>
      <c r="C679" s="167" t="s">
        <v>70</v>
      </c>
      <c r="D679" s="168" t="s">
        <v>1233</v>
      </c>
      <c r="E679" s="168" t="s">
        <v>770</v>
      </c>
      <c r="F679" s="169" t="s">
        <v>770</v>
      </c>
      <c r="G679" s="122" t="s">
        <v>770</v>
      </c>
      <c r="H679" s="170">
        <v>-1173000</v>
      </c>
      <c r="I679" s="168" t="s">
        <v>1200</v>
      </c>
      <c r="J679" s="168" t="s">
        <v>770</v>
      </c>
    </row>
    <row r="680" spans="2:10" ht="12" x14ac:dyDescent="0.15">
      <c r="B680" s="121">
        <v>13</v>
      </c>
      <c r="C680" s="167" t="s">
        <v>70</v>
      </c>
      <c r="D680" s="168" t="s">
        <v>1234</v>
      </c>
      <c r="E680" s="168" t="s">
        <v>770</v>
      </c>
      <c r="F680" s="169" t="s">
        <v>770</v>
      </c>
      <c r="G680" s="122" t="s">
        <v>770</v>
      </c>
      <c r="H680" s="170">
        <v>-1320000</v>
      </c>
      <c r="I680" s="168" t="s">
        <v>1200</v>
      </c>
      <c r="J680" s="168" t="s">
        <v>770</v>
      </c>
    </row>
    <row r="681" spans="2:10" ht="12" x14ac:dyDescent="0.15">
      <c r="B681" s="121">
        <v>13</v>
      </c>
      <c r="C681" s="167" t="s">
        <v>70</v>
      </c>
      <c r="D681" s="168" t="s">
        <v>1235</v>
      </c>
      <c r="E681" s="168" t="s">
        <v>770</v>
      </c>
      <c r="F681" s="169" t="s">
        <v>770</v>
      </c>
      <c r="G681" s="122" t="s">
        <v>770</v>
      </c>
      <c r="H681" s="170">
        <v>-500000</v>
      </c>
      <c r="I681" s="168" t="s">
        <v>1200</v>
      </c>
      <c r="J681" s="168" t="s">
        <v>770</v>
      </c>
    </row>
    <row r="682" spans="2:10" ht="12" x14ac:dyDescent="0.15">
      <c r="B682" s="121">
        <v>13</v>
      </c>
      <c r="C682" s="167" t="s">
        <v>70</v>
      </c>
      <c r="D682" s="168" t="s">
        <v>1236</v>
      </c>
      <c r="E682" s="168" t="s">
        <v>770</v>
      </c>
      <c r="F682" s="169" t="s">
        <v>770</v>
      </c>
      <c r="G682" s="122" t="s">
        <v>770</v>
      </c>
      <c r="H682" s="170">
        <v>-1400000</v>
      </c>
      <c r="I682" s="168" t="s">
        <v>1200</v>
      </c>
      <c r="J682" s="168" t="s">
        <v>770</v>
      </c>
    </row>
    <row r="683" spans="2:10" ht="12" x14ac:dyDescent="0.15">
      <c r="B683" s="121">
        <v>13</v>
      </c>
      <c r="C683" s="167" t="s">
        <v>70</v>
      </c>
      <c r="D683" s="168" t="s">
        <v>1237</v>
      </c>
      <c r="E683" s="168" t="s">
        <v>770</v>
      </c>
      <c r="F683" s="169" t="s">
        <v>770</v>
      </c>
      <c r="G683" s="122" t="s">
        <v>770</v>
      </c>
      <c r="H683" s="170">
        <v>-400000</v>
      </c>
      <c r="I683" s="168" t="s">
        <v>1200</v>
      </c>
      <c r="J683" s="168" t="s">
        <v>770</v>
      </c>
    </row>
    <row r="684" spans="2:10" ht="12" x14ac:dyDescent="0.15">
      <c r="B684" s="121">
        <v>13</v>
      </c>
      <c r="C684" s="167" t="s">
        <v>70</v>
      </c>
      <c r="D684" s="168" t="s">
        <v>1238</v>
      </c>
      <c r="E684" s="168" t="s">
        <v>770</v>
      </c>
      <c r="F684" s="169" t="s">
        <v>770</v>
      </c>
      <c r="G684" s="122" t="s">
        <v>770</v>
      </c>
      <c r="H684" s="170">
        <v>-400000</v>
      </c>
      <c r="I684" s="168" t="s">
        <v>1200</v>
      </c>
      <c r="J684" s="168" t="s">
        <v>770</v>
      </c>
    </row>
    <row r="685" spans="2:10" ht="12" x14ac:dyDescent="0.15">
      <c r="B685" s="121">
        <v>13</v>
      </c>
      <c r="C685" s="167" t="s">
        <v>70</v>
      </c>
      <c r="D685" s="168" t="s">
        <v>1239</v>
      </c>
      <c r="E685" s="168" t="s">
        <v>770</v>
      </c>
      <c r="F685" s="169" t="s">
        <v>770</v>
      </c>
      <c r="G685" s="122" t="s">
        <v>770</v>
      </c>
      <c r="H685" s="170">
        <v>-2800000</v>
      </c>
      <c r="I685" s="168" t="s">
        <v>1200</v>
      </c>
      <c r="J685" s="168" t="s">
        <v>770</v>
      </c>
    </row>
    <row r="686" spans="2:10" ht="12" x14ac:dyDescent="0.15">
      <c r="B686" s="121">
        <v>13</v>
      </c>
      <c r="C686" s="167" t="s">
        <v>70</v>
      </c>
      <c r="D686" s="168" t="s">
        <v>1240</v>
      </c>
      <c r="E686" s="168" t="s">
        <v>770</v>
      </c>
      <c r="F686" s="169" t="s">
        <v>770</v>
      </c>
      <c r="G686" s="122" t="s">
        <v>770</v>
      </c>
      <c r="H686" s="170">
        <v>5346000</v>
      </c>
      <c r="I686" s="168" t="s">
        <v>1200</v>
      </c>
      <c r="J686" s="168" t="s">
        <v>770</v>
      </c>
    </row>
    <row r="687" spans="2:10" ht="12" x14ac:dyDescent="0.15">
      <c r="B687" s="121">
        <v>13</v>
      </c>
      <c r="C687" s="167" t="s">
        <v>70</v>
      </c>
      <c r="D687" s="168" t="s">
        <v>1240</v>
      </c>
      <c r="E687" s="168" t="s">
        <v>770</v>
      </c>
      <c r="F687" s="169" t="s">
        <v>770</v>
      </c>
      <c r="G687" s="122" t="s">
        <v>770</v>
      </c>
      <c r="H687" s="170">
        <v>5346000</v>
      </c>
      <c r="I687" s="168" t="s">
        <v>1200</v>
      </c>
      <c r="J687" s="168" t="s">
        <v>770</v>
      </c>
    </row>
    <row r="688" spans="2:10" ht="12" x14ac:dyDescent="0.15">
      <c r="B688" s="121">
        <v>13</v>
      </c>
      <c r="C688" s="167" t="s">
        <v>70</v>
      </c>
      <c r="D688" s="168" t="s">
        <v>1241</v>
      </c>
      <c r="E688" s="168" t="s">
        <v>770</v>
      </c>
      <c r="F688" s="169" t="s">
        <v>770</v>
      </c>
      <c r="G688" s="122" t="s">
        <v>770</v>
      </c>
      <c r="H688" s="170">
        <v>-5346000</v>
      </c>
      <c r="I688" s="168" t="s">
        <v>1200</v>
      </c>
      <c r="J688" s="168" t="s">
        <v>770</v>
      </c>
    </row>
    <row r="689" spans="2:10" ht="12" x14ac:dyDescent="0.15">
      <c r="B689" s="121">
        <v>13</v>
      </c>
      <c r="C689" s="167" t="s">
        <v>70</v>
      </c>
      <c r="D689" s="168" t="s">
        <v>1241</v>
      </c>
      <c r="E689" s="168" t="s">
        <v>770</v>
      </c>
      <c r="F689" s="169" t="s">
        <v>770</v>
      </c>
      <c r="G689" s="122" t="s">
        <v>770</v>
      </c>
      <c r="H689" s="170">
        <v>-5346000</v>
      </c>
      <c r="I689" s="168" t="s">
        <v>1200</v>
      </c>
      <c r="J689" s="168" t="s">
        <v>770</v>
      </c>
    </row>
    <row r="690" spans="2:10" ht="12" x14ac:dyDescent="0.15">
      <c r="B690" s="121">
        <v>13</v>
      </c>
      <c r="C690" s="167" t="s">
        <v>70</v>
      </c>
      <c r="D690" s="168" t="s">
        <v>1241</v>
      </c>
      <c r="E690" s="168" t="s">
        <v>770</v>
      </c>
      <c r="F690" s="169" t="s">
        <v>770</v>
      </c>
      <c r="G690" s="122" t="s">
        <v>770</v>
      </c>
      <c r="H690" s="170">
        <v>-5346000</v>
      </c>
      <c r="I690" s="168" t="s">
        <v>1200</v>
      </c>
      <c r="J690" s="168" t="s">
        <v>770</v>
      </c>
    </row>
    <row r="691" spans="2:10" ht="12" x14ac:dyDescent="0.15">
      <c r="B691" s="121">
        <v>13</v>
      </c>
      <c r="C691" s="167" t="s">
        <v>70</v>
      </c>
      <c r="D691" s="168" t="s">
        <v>1240</v>
      </c>
      <c r="E691" s="168" t="s">
        <v>770</v>
      </c>
      <c r="F691" s="169" t="s">
        <v>770</v>
      </c>
      <c r="G691" s="122" t="s">
        <v>770</v>
      </c>
      <c r="H691" s="170">
        <v>5346000</v>
      </c>
      <c r="I691" s="168" t="s">
        <v>1200</v>
      </c>
      <c r="J691" s="168" t="s">
        <v>770</v>
      </c>
    </row>
    <row r="692" spans="2:10" ht="12" x14ac:dyDescent="0.15">
      <c r="B692" s="121">
        <v>13</v>
      </c>
      <c r="C692" s="167" t="s">
        <v>70</v>
      </c>
      <c r="D692" s="168" t="s">
        <v>1242</v>
      </c>
      <c r="E692" s="168" t="s">
        <v>770</v>
      </c>
      <c r="F692" s="169" t="s">
        <v>770</v>
      </c>
      <c r="G692" s="122" t="s">
        <v>770</v>
      </c>
      <c r="H692" s="170">
        <v>3560000</v>
      </c>
      <c r="I692" s="168" t="s">
        <v>1200</v>
      </c>
      <c r="J692" s="168" t="s">
        <v>770</v>
      </c>
    </row>
    <row r="693" spans="2:10" ht="12" x14ac:dyDescent="0.15">
      <c r="B693" s="121">
        <v>13</v>
      </c>
      <c r="C693" s="167" t="s">
        <v>70</v>
      </c>
      <c r="D693" s="168" t="s">
        <v>1120</v>
      </c>
      <c r="E693" s="168" t="s">
        <v>770</v>
      </c>
      <c r="F693" s="169" t="s">
        <v>770</v>
      </c>
      <c r="G693" s="122" t="s">
        <v>770</v>
      </c>
      <c r="H693" s="170">
        <v>9660000</v>
      </c>
      <c r="I693" s="168" t="s">
        <v>1200</v>
      </c>
      <c r="J693" s="168" t="s">
        <v>770</v>
      </c>
    </row>
    <row r="694" spans="2:10" ht="12" x14ac:dyDescent="0.15">
      <c r="B694" s="121">
        <v>13</v>
      </c>
      <c r="C694" s="167" t="s">
        <v>70</v>
      </c>
      <c r="D694" s="168" t="s">
        <v>1243</v>
      </c>
      <c r="E694" s="168" t="s">
        <v>770</v>
      </c>
      <c r="F694" s="169" t="s">
        <v>770</v>
      </c>
      <c r="G694" s="122" t="s">
        <v>770</v>
      </c>
      <c r="H694" s="170">
        <v>8400000</v>
      </c>
      <c r="I694" s="168" t="s">
        <v>1200</v>
      </c>
      <c r="J694" s="168" t="s">
        <v>770</v>
      </c>
    </row>
    <row r="695" spans="2:10" ht="12" x14ac:dyDescent="0.15">
      <c r="B695" s="121">
        <v>13</v>
      </c>
      <c r="C695" s="167" t="s">
        <v>70</v>
      </c>
      <c r="D695" s="168" t="s">
        <v>1244</v>
      </c>
      <c r="E695" s="168" t="s">
        <v>770</v>
      </c>
      <c r="F695" s="169" t="s">
        <v>770</v>
      </c>
      <c r="G695" s="122" t="s">
        <v>770</v>
      </c>
      <c r="H695" s="170">
        <v>8400000</v>
      </c>
      <c r="I695" s="168" t="s">
        <v>1200</v>
      </c>
      <c r="J695" s="168" t="s">
        <v>770</v>
      </c>
    </row>
    <row r="696" spans="2:10" ht="12" x14ac:dyDescent="0.15">
      <c r="B696" s="121">
        <v>13</v>
      </c>
      <c r="C696" s="167" t="s">
        <v>70</v>
      </c>
      <c r="D696" s="168" t="s">
        <v>1120</v>
      </c>
      <c r="E696" s="168" t="s">
        <v>770</v>
      </c>
      <c r="F696" s="169" t="s">
        <v>770</v>
      </c>
      <c r="G696" s="122" t="s">
        <v>770</v>
      </c>
      <c r="H696" s="170">
        <v>-9660000</v>
      </c>
      <c r="I696" s="168" t="s">
        <v>1200</v>
      </c>
      <c r="J696" s="168" t="s">
        <v>770</v>
      </c>
    </row>
    <row r="697" spans="2:10" ht="12" x14ac:dyDescent="0.15">
      <c r="B697" s="121">
        <v>13</v>
      </c>
      <c r="C697" s="167" t="s">
        <v>70</v>
      </c>
      <c r="D697" s="168" t="s">
        <v>1243</v>
      </c>
      <c r="E697" s="168" t="s">
        <v>770</v>
      </c>
      <c r="F697" s="169" t="s">
        <v>770</v>
      </c>
      <c r="G697" s="122" t="s">
        <v>770</v>
      </c>
      <c r="H697" s="170">
        <v>-8400000</v>
      </c>
      <c r="I697" s="168" t="s">
        <v>1200</v>
      </c>
      <c r="J697" s="168" t="s">
        <v>770</v>
      </c>
    </row>
    <row r="698" spans="2:10" ht="12" x14ac:dyDescent="0.15">
      <c r="B698" s="121">
        <v>13</v>
      </c>
      <c r="C698" s="167" t="s">
        <v>70</v>
      </c>
      <c r="D698" s="168" t="s">
        <v>1244</v>
      </c>
      <c r="E698" s="168" t="s">
        <v>770</v>
      </c>
      <c r="F698" s="169" t="s">
        <v>770</v>
      </c>
      <c r="G698" s="122" t="s">
        <v>770</v>
      </c>
      <c r="H698" s="170">
        <v>-8400000</v>
      </c>
      <c r="I698" s="168" t="s">
        <v>1200</v>
      </c>
      <c r="J698" s="168" t="s">
        <v>770</v>
      </c>
    </row>
    <row r="699" spans="2:10" ht="12" x14ac:dyDescent="0.15">
      <c r="B699" s="121">
        <v>13</v>
      </c>
      <c r="C699" s="167" t="s">
        <v>70</v>
      </c>
      <c r="D699" s="168" t="s">
        <v>1245</v>
      </c>
      <c r="E699" s="168" t="s">
        <v>770</v>
      </c>
      <c r="F699" s="169" t="s">
        <v>770</v>
      </c>
      <c r="G699" s="122" t="s">
        <v>770</v>
      </c>
      <c r="H699" s="170">
        <v>5064000</v>
      </c>
      <c r="I699" s="168" t="s">
        <v>1200</v>
      </c>
      <c r="J699" s="168" t="s">
        <v>770</v>
      </c>
    </row>
    <row r="700" spans="2:10" ht="12" x14ac:dyDescent="0.15">
      <c r="B700" s="121">
        <v>13</v>
      </c>
      <c r="C700" s="167" t="s">
        <v>70</v>
      </c>
      <c r="D700" s="168" t="s">
        <v>1127</v>
      </c>
      <c r="E700" s="168" t="s">
        <v>770</v>
      </c>
      <c r="F700" s="169" t="s">
        <v>770</v>
      </c>
      <c r="G700" s="122" t="s">
        <v>770</v>
      </c>
      <c r="H700" s="170">
        <v>11340000</v>
      </c>
      <c r="I700" s="168" t="s">
        <v>1200</v>
      </c>
      <c r="J700" s="168" t="s">
        <v>770</v>
      </c>
    </row>
    <row r="701" spans="2:10" ht="12" x14ac:dyDescent="0.15">
      <c r="B701" s="121">
        <v>13</v>
      </c>
      <c r="C701" s="167" t="s">
        <v>70</v>
      </c>
      <c r="D701" s="168" t="s">
        <v>1245</v>
      </c>
      <c r="E701" s="168" t="s">
        <v>770</v>
      </c>
      <c r="F701" s="169" t="s">
        <v>770</v>
      </c>
      <c r="G701" s="122" t="s">
        <v>770</v>
      </c>
      <c r="H701" s="170">
        <v>-5064000</v>
      </c>
      <c r="I701" s="168" t="s">
        <v>1200</v>
      </c>
      <c r="J701" s="168" t="s">
        <v>770</v>
      </c>
    </row>
    <row r="702" spans="2:10" ht="12" x14ac:dyDescent="0.15">
      <c r="B702" s="121">
        <v>13</v>
      </c>
      <c r="C702" s="167" t="s">
        <v>70</v>
      </c>
      <c r="D702" s="168" t="s">
        <v>1127</v>
      </c>
      <c r="E702" s="168" t="s">
        <v>770</v>
      </c>
      <c r="F702" s="169" t="s">
        <v>770</v>
      </c>
      <c r="G702" s="122" t="s">
        <v>770</v>
      </c>
      <c r="H702" s="170">
        <v>-11340000</v>
      </c>
      <c r="I702" s="168" t="s">
        <v>1200</v>
      </c>
      <c r="J702" s="168" t="s">
        <v>770</v>
      </c>
    </row>
    <row r="703" spans="2:10" ht="12" x14ac:dyDescent="0.15">
      <c r="B703" s="121">
        <v>13</v>
      </c>
      <c r="C703" s="167" t="s">
        <v>70</v>
      </c>
      <c r="D703" s="168" t="s">
        <v>1246</v>
      </c>
      <c r="E703" s="168" t="s">
        <v>770</v>
      </c>
      <c r="F703" s="169" t="s">
        <v>770</v>
      </c>
      <c r="G703" s="122" t="s">
        <v>770</v>
      </c>
      <c r="H703" s="170">
        <v>140009278</v>
      </c>
      <c r="I703" s="168" t="s">
        <v>1200</v>
      </c>
      <c r="J703" s="168" t="s">
        <v>770</v>
      </c>
    </row>
    <row r="704" spans="2:10" ht="12" x14ac:dyDescent="0.15">
      <c r="B704" s="121">
        <v>13</v>
      </c>
      <c r="C704" s="167" t="s">
        <v>70</v>
      </c>
      <c r="D704" s="168" t="s">
        <v>1246</v>
      </c>
      <c r="E704" s="168" t="s">
        <v>770</v>
      </c>
      <c r="F704" s="169" t="s">
        <v>770</v>
      </c>
      <c r="G704" s="122" t="s">
        <v>770</v>
      </c>
      <c r="H704" s="170">
        <v>-140009278</v>
      </c>
      <c r="I704" s="168" t="s">
        <v>1200</v>
      </c>
      <c r="J704" s="168" t="s">
        <v>770</v>
      </c>
    </row>
    <row r="705" spans="2:10" ht="12" x14ac:dyDescent="0.15">
      <c r="B705" s="121">
        <v>13</v>
      </c>
      <c r="C705" s="167" t="s">
        <v>70</v>
      </c>
      <c r="D705" s="168" t="s">
        <v>1247</v>
      </c>
      <c r="E705" s="168" t="s">
        <v>770</v>
      </c>
      <c r="F705" s="169" t="s">
        <v>770</v>
      </c>
      <c r="G705" s="122" t="s">
        <v>770</v>
      </c>
      <c r="H705" s="170">
        <v>342507000</v>
      </c>
      <c r="I705" s="168" t="s">
        <v>1200</v>
      </c>
      <c r="J705" s="168" t="s">
        <v>770</v>
      </c>
    </row>
    <row r="706" spans="2:10" ht="12" x14ac:dyDescent="0.15">
      <c r="B706" s="121">
        <v>13</v>
      </c>
      <c r="C706" s="167" t="s">
        <v>70</v>
      </c>
      <c r="D706" s="168" t="s">
        <v>1248</v>
      </c>
      <c r="E706" s="168" t="s">
        <v>770</v>
      </c>
      <c r="F706" s="169" t="s">
        <v>770</v>
      </c>
      <c r="G706" s="122" t="s">
        <v>770</v>
      </c>
      <c r="H706" s="170">
        <v>-342507000</v>
      </c>
      <c r="I706" s="168" t="s">
        <v>1200</v>
      </c>
      <c r="J706" s="168" t="s">
        <v>770</v>
      </c>
    </row>
    <row r="707" spans="2:10" ht="12" x14ac:dyDescent="0.15">
      <c r="B707" s="121">
        <v>13</v>
      </c>
      <c r="C707" s="167" t="s">
        <v>70</v>
      </c>
      <c r="D707" s="168" t="s">
        <v>1247</v>
      </c>
      <c r="E707" s="168" t="s">
        <v>770</v>
      </c>
      <c r="F707" s="169" t="s">
        <v>770</v>
      </c>
      <c r="G707" s="122" t="s">
        <v>770</v>
      </c>
      <c r="H707" s="170">
        <v>228338000</v>
      </c>
      <c r="I707" s="168" t="s">
        <v>1200</v>
      </c>
      <c r="J707" s="168" t="s">
        <v>770</v>
      </c>
    </row>
    <row r="708" spans="2:10" ht="12" x14ac:dyDescent="0.15">
      <c r="B708" s="121">
        <v>13</v>
      </c>
      <c r="C708" s="167" t="s">
        <v>70</v>
      </c>
      <c r="D708" s="168" t="s">
        <v>1247</v>
      </c>
      <c r="E708" s="168" t="s">
        <v>770</v>
      </c>
      <c r="F708" s="169" t="s">
        <v>770</v>
      </c>
      <c r="G708" s="122" t="s">
        <v>770</v>
      </c>
      <c r="H708" s="170">
        <v>-228338000</v>
      </c>
      <c r="I708" s="168" t="s">
        <v>1200</v>
      </c>
      <c r="J708" s="168" t="s">
        <v>770</v>
      </c>
    </row>
    <row r="709" spans="2:10" ht="12" x14ac:dyDescent="0.15">
      <c r="B709" s="121">
        <v>13</v>
      </c>
      <c r="C709" s="167" t="s">
        <v>70</v>
      </c>
      <c r="D709" s="168" t="s">
        <v>1249</v>
      </c>
      <c r="E709" s="168" t="s">
        <v>770</v>
      </c>
      <c r="F709" s="169" t="s">
        <v>770</v>
      </c>
      <c r="G709" s="122" t="s">
        <v>770</v>
      </c>
      <c r="H709" s="170">
        <v>6083331</v>
      </c>
      <c r="I709" s="168" t="s">
        <v>1200</v>
      </c>
      <c r="J709" s="168" t="s">
        <v>770</v>
      </c>
    </row>
    <row r="710" spans="2:10" ht="12" x14ac:dyDescent="0.15">
      <c r="B710" s="121">
        <v>13</v>
      </c>
      <c r="C710" s="167" t="s">
        <v>70</v>
      </c>
      <c r="D710" s="168" t="s">
        <v>1249</v>
      </c>
      <c r="E710" s="168" t="s">
        <v>770</v>
      </c>
      <c r="F710" s="169" t="s">
        <v>770</v>
      </c>
      <c r="G710" s="122" t="s">
        <v>770</v>
      </c>
      <c r="H710" s="170">
        <v>-6083331</v>
      </c>
      <c r="I710" s="168" t="s">
        <v>1200</v>
      </c>
      <c r="J710" s="168" t="s">
        <v>770</v>
      </c>
    </row>
    <row r="711" spans="2:10" ht="12" x14ac:dyDescent="0.15">
      <c r="B711" s="121">
        <v>13</v>
      </c>
      <c r="C711" s="167" t="s">
        <v>70</v>
      </c>
      <c r="D711" s="168" t="s">
        <v>770</v>
      </c>
      <c r="E711" s="168" t="s">
        <v>770</v>
      </c>
      <c r="F711" s="169" t="s">
        <v>770</v>
      </c>
      <c r="G711" s="122" t="s">
        <v>770</v>
      </c>
      <c r="H711" s="170">
        <v>34000000</v>
      </c>
      <c r="I711" s="168" t="s">
        <v>1200</v>
      </c>
      <c r="J711" s="168" t="s">
        <v>770</v>
      </c>
    </row>
    <row r="712" spans="2:10" ht="12" x14ac:dyDescent="0.15">
      <c r="B712" s="121">
        <v>13</v>
      </c>
      <c r="C712" s="167" t="s">
        <v>70</v>
      </c>
      <c r="D712" s="168" t="s">
        <v>1250</v>
      </c>
      <c r="E712" s="168" t="s">
        <v>770</v>
      </c>
      <c r="F712" s="169" t="s">
        <v>770</v>
      </c>
      <c r="G712" s="122" t="s">
        <v>770</v>
      </c>
      <c r="H712" s="170">
        <v>-34000000</v>
      </c>
      <c r="I712" s="168" t="s">
        <v>1200</v>
      </c>
      <c r="J712" s="168" t="s">
        <v>770</v>
      </c>
    </row>
    <row r="713" spans="2:10" ht="12" x14ac:dyDescent="0.15">
      <c r="B713" s="121">
        <v>13</v>
      </c>
      <c r="C713" s="167" t="s">
        <v>70</v>
      </c>
      <c r="D713" s="168" t="s">
        <v>1220</v>
      </c>
      <c r="E713" s="168" t="s">
        <v>770</v>
      </c>
      <c r="F713" s="169" t="s">
        <v>770</v>
      </c>
      <c r="G713" s="122" t="s">
        <v>770</v>
      </c>
      <c r="H713" s="170">
        <v>936322</v>
      </c>
      <c r="I713" s="168" t="s">
        <v>1200</v>
      </c>
      <c r="J713" s="168" t="s">
        <v>770</v>
      </c>
    </row>
    <row r="714" spans="2:10" ht="12" x14ac:dyDescent="0.15">
      <c r="B714" s="121">
        <v>13</v>
      </c>
      <c r="C714" s="167" t="s">
        <v>70</v>
      </c>
      <c r="D714" s="168" t="s">
        <v>1225</v>
      </c>
      <c r="E714" s="168" t="s">
        <v>770</v>
      </c>
      <c r="F714" s="169" t="s">
        <v>770</v>
      </c>
      <c r="G714" s="122" t="s">
        <v>770</v>
      </c>
      <c r="H714" s="170">
        <v>3821833</v>
      </c>
      <c r="I714" s="168" t="s">
        <v>1200</v>
      </c>
      <c r="J714" s="168" t="s">
        <v>770</v>
      </c>
    </row>
    <row r="715" spans="2:10" ht="12" x14ac:dyDescent="0.15">
      <c r="B715" s="121">
        <v>13</v>
      </c>
      <c r="C715" s="167" t="s">
        <v>70</v>
      </c>
      <c r="D715" s="168" t="s">
        <v>1220</v>
      </c>
      <c r="E715" s="168" t="s">
        <v>770</v>
      </c>
      <c r="F715" s="169" t="s">
        <v>770</v>
      </c>
      <c r="G715" s="122" t="s">
        <v>770</v>
      </c>
      <c r="H715" s="170">
        <v>1222209</v>
      </c>
      <c r="I715" s="168" t="s">
        <v>1200</v>
      </c>
      <c r="J715" s="168" t="s">
        <v>770</v>
      </c>
    </row>
    <row r="716" spans="2:10" ht="12" x14ac:dyDescent="0.15">
      <c r="B716" s="121">
        <v>13</v>
      </c>
      <c r="C716" s="167" t="s">
        <v>70</v>
      </c>
      <c r="D716" s="168" t="s">
        <v>1251</v>
      </c>
      <c r="E716" s="168" t="s">
        <v>770</v>
      </c>
      <c r="F716" s="169" t="s">
        <v>770</v>
      </c>
      <c r="G716" s="122" t="s">
        <v>770</v>
      </c>
      <c r="H716" s="170">
        <v>24043283</v>
      </c>
      <c r="I716" s="168" t="s">
        <v>1200</v>
      </c>
      <c r="J716" s="168" t="s">
        <v>770</v>
      </c>
    </row>
    <row r="717" spans="2:10" ht="12" x14ac:dyDescent="0.15">
      <c r="B717" s="121">
        <v>13</v>
      </c>
      <c r="C717" s="167" t="s">
        <v>70</v>
      </c>
      <c r="D717" s="168" t="s">
        <v>770</v>
      </c>
      <c r="E717" s="168" t="s">
        <v>770</v>
      </c>
      <c r="F717" s="169" t="s">
        <v>770</v>
      </c>
      <c r="G717" s="122" t="s">
        <v>770</v>
      </c>
      <c r="H717" s="170">
        <v>12300000</v>
      </c>
      <c r="I717" s="168" t="s">
        <v>1200</v>
      </c>
      <c r="J717" s="168" t="s">
        <v>770</v>
      </c>
    </row>
    <row r="718" spans="2:10" ht="12" x14ac:dyDescent="0.15">
      <c r="B718" s="121">
        <v>13</v>
      </c>
      <c r="C718" s="167" t="s">
        <v>70</v>
      </c>
      <c r="D718" s="168" t="s">
        <v>1252</v>
      </c>
      <c r="E718" s="168" t="s">
        <v>770</v>
      </c>
      <c r="F718" s="169" t="s">
        <v>770</v>
      </c>
      <c r="G718" s="122" t="s">
        <v>770</v>
      </c>
      <c r="H718" s="170">
        <v>6161534</v>
      </c>
      <c r="I718" s="168" t="s">
        <v>1200</v>
      </c>
      <c r="J718" s="168" t="s">
        <v>770</v>
      </c>
    </row>
    <row r="719" spans="2:10" ht="12" x14ac:dyDescent="0.15">
      <c r="B719" s="121">
        <v>13</v>
      </c>
      <c r="C719" s="167" t="s">
        <v>70</v>
      </c>
      <c r="D719" s="168" t="s">
        <v>1253</v>
      </c>
      <c r="E719" s="168" t="s">
        <v>770</v>
      </c>
      <c r="F719" s="169" t="s">
        <v>770</v>
      </c>
      <c r="G719" s="122" t="s">
        <v>770</v>
      </c>
      <c r="H719" s="170">
        <v>718293</v>
      </c>
      <c r="I719" s="168" t="s">
        <v>1200</v>
      </c>
      <c r="J719" s="168" t="s">
        <v>770</v>
      </c>
    </row>
    <row r="720" spans="2:10" ht="12" x14ac:dyDescent="0.15">
      <c r="B720" s="121">
        <v>13</v>
      </c>
      <c r="C720" s="167" t="s">
        <v>70</v>
      </c>
      <c r="D720" s="168" t="s">
        <v>1254</v>
      </c>
      <c r="E720" s="168" t="s">
        <v>770</v>
      </c>
      <c r="F720" s="169" t="s">
        <v>770</v>
      </c>
      <c r="G720" s="122" t="s">
        <v>770</v>
      </c>
      <c r="H720" s="170">
        <v>4152601</v>
      </c>
      <c r="I720" s="168" t="s">
        <v>1200</v>
      </c>
      <c r="J720" s="168" t="s">
        <v>770</v>
      </c>
    </row>
    <row r="721" spans="2:10" ht="12" x14ac:dyDescent="0.15">
      <c r="B721" s="121">
        <v>13</v>
      </c>
      <c r="C721" s="167" t="s">
        <v>70</v>
      </c>
      <c r="D721" s="168" t="s">
        <v>1255</v>
      </c>
      <c r="E721" s="168" t="s">
        <v>770</v>
      </c>
      <c r="F721" s="169" t="s">
        <v>770</v>
      </c>
      <c r="G721" s="122" t="s">
        <v>770</v>
      </c>
      <c r="H721" s="170">
        <v>3403540</v>
      </c>
      <c r="I721" s="168" t="s">
        <v>1200</v>
      </c>
      <c r="J721" s="168" t="s">
        <v>770</v>
      </c>
    </row>
    <row r="722" spans="2:10" ht="12" x14ac:dyDescent="0.15">
      <c r="B722" s="121">
        <v>13</v>
      </c>
      <c r="C722" s="167" t="s">
        <v>70</v>
      </c>
      <c r="D722" s="168" t="s">
        <v>1252</v>
      </c>
      <c r="E722" s="168" t="s">
        <v>770</v>
      </c>
      <c r="F722" s="169" t="s">
        <v>770</v>
      </c>
      <c r="G722" s="122" t="s">
        <v>770</v>
      </c>
      <c r="H722" s="170">
        <v>-6161534</v>
      </c>
      <c r="I722" s="168" t="s">
        <v>1200</v>
      </c>
      <c r="J722" s="168" t="s">
        <v>770</v>
      </c>
    </row>
    <row r="723" spans="2:10" ht="12" x14ac:dyDescent="0.15">
      <c r="B723" s="121">
        <v>13</v>
      </c>
      <c r="C723" s="167" t="s">
        <v>70</v>
      </c>
      <c r="D723" s="168" t="s">
        <v>1254</v>
      </c>
      <c r="E723" s="168" t="s">
        <v>770</v>
      </c>
      <c r="F723" s="169" t="s">
        <v>770</v>
      </c>
      <c r="G723" s="122" t="s">
        <v>770</v>
      </c>
      <c r="H723" s="170">
        <v>-4152601</v>
      </c>
      <c r="I723" s="168" t="s">
        <v>1200</v>
      </c>
      <c r="J723" s="168" t="s">
        <v>770</v>
      </c>
    </row>
    <row r="724" spans="2:10" ht="12" x14ac:dyDescent="0.15">
      <c r="B724" s="121">
        <v>13</v>
      </c>
      <c r="C724" s="167" t="s">
        <v>70</v>
      </c>
      <c r="D724" s="168" t="s">
        <v>1252</v>
      </c>
      <c r="E724" s="168" t="s">
        <v>770</v>
      </c>
      <c r="F724" s="169" t="s">
        <v>770</v>
      </c>
      <c r="G724" s="122" t="s">
        <v>770</v>
      </c>
      <c r="H724" s="170">
        <v>6161534</v>
      </c>
      <c r="I724" s="168" t="s">
        <v>1200</v>
      </c>
      <c r="J724" s="168" t="s">
        <v>770</v>
      </c>
    </row>
    <row r="725" spans="2:10" ht="12" x14ac:dyDescent="0.15">
      <c r="B725" s="121">
        <v>13</v>
      </c>
      <c r="C725" s="167" t="s">
        <v>70</v>
      </c>
      <c r="D725" s="168" t="s">
        <v>1254</v>
      </c>
      <c r="E725" s="168" t="s">
        <v>770</v>
      </c>
      <c r="F725" s="169" t="s">
        <v>770</v>
      </c>
      <c r="G725" s="122" t="s">
        <v>770</v>
      </c>
      <c r="H725" s="170">
        <v>4152601</v>
      </c>
      <c r="I725" s="168" t="s">
        <v>1200</v>
      </c>
      <c r="J725" s="168" t="s">
        <v>770</v>
      </c>
    </row>
    <row r="726" spans="2:10" ht="12" x14ac:dyDescent="0.15">
      <c r="B726" s="121">
        <v>13</v>
      </c>
      <c r="C726" s="167" t="s">
        <v>70</v>
      </c>
      <c r="D726" s="168" t="s">
        <v>1256</v>
      </c>
      <c r="E726" s="168" t="s">
        <v>770</v>
      </c>
      <c r="F726" s="169" t="s">
        <v>770</v>
      </c>
      <c r="G726" s="122" t="s">
        <v>770</v>
      </c>
      <c r="H726" s="170">
        <v>4619024</v>
      </c>
      <c r="I726" s="168" t="s">
        <v>1200</v>
      </c>
      <c r="J726" s="168" t="s">
        <v>770</v>
      </c>
    </row>
    <row r="727" spans="2:10" ht="12" x14ac:dyDescent="0.15">
      <c r="B727" s="121">
        <v>13</v>
      </c>
      <c r="C727" s="167" t="s">
        <v>70</v>
      </c>
      <c r="D727" s="168" t="s">
        <v>1257</v>
      </c>
      <c r="E727" s="168" t="s">
        <v>770</v>
      </c>
      <c r="F727" s="169" t="s">
        <v>770</v>
      </c>
      <c r="G727" s="122" t="s">
        <v>770</v>
      </c>
      <c r="H727" s="170">
        <v>6499835</v>
      </c>
      <c r="I727" s="168" t="s">
        <v>1200</v>
      </c>
      <c r="J727" s="168" t="s">
        <v>770</v>
      </c>
    </row>
    <row r="728" spans="2:10" ht="12" x14ac:dyDescent="0.15">
      <c r="B728" s="121">
        <v>13</v>
      </c>
      <c r="C728" s="167" t="s">
        <v>70</v>
      </c>
      <c r="D728" s="168" t="s">
        <v>1258</v>
      </c>
      <c r="E728" s="168" t="s">
        <v>770</v>
      </c>
      <c r="F728" s="169" t="s">
        <v>770</v>
      </c>
      <c r="G728" s="122" t="s">
        <v>770</v>
      </c>
      <c r="H728" s="170">
        <v>411393</v>
      </c>
      <c r="I728" s="168" t="s">
        <v>1200</v>
      </c>
      <c r="J728" s="168" t="s">
        <v>770</v>
      </c>
    </row>
    <row r="729" spans="2:10" ht="12" x14ac:dyDescent="0.15">
      <c r="B729" s="121">
        <v>13</v>
      </c>
      <c r="C729" s="167" t="s">
        <v>70</v>
      </c>
      <c r="D729" s="168" t="s">
        <v>1259</v>
      </c>
      <c r="E729" s="168" t="s">
        <v>770</v>
      </c>
      <c r="F729" s="169" t="s">
        <v>770</v>
      </c>
      <c r="G729" s="122" t="s">
        <v>770</v>
      </c>
      <c r="H729" s="170">
        <v>1164694</v>
      </c>
      <c r="I729" s="168" t="s">
        <v>1200</v>
      </c>
      <c r="J729" s="168" t="s">
        <v>770</v>
      </c>
    </row>
    <row r="730" spans="2:10" ht="12" x14ac:dyDescent="0.15">
      <c r="B730" s="121">
        <v>13</v>
      </c>
      <c r="C730" s="167" t="s">
        <v>70</v>
      </c>
      <c r="D730" s="168" t="s">
        <v>1255</v>
      </c>
      <c r="E730" s="168" t="s">
        <v>770</v>
      </c>
      <c r="F730" s="169" t="s">
        <v>770</v>
      </c>
      <c r="G730" s="122" t="s">
        <v>770</v>
      </c>
      <c r="H730" s="170">
        <v>3146780</v>
      </c>
      <c r="I730" s="168" t="s">
        <v>1200</v>
      </c>
      <c r="J730" s="168" t="s">
        <v>770</v>
      </c>
    </row>
    <row r="731" spans="2:10" ht="12" x14ac:dyDescent="0.15">
      <c r="B731" s="121">
        <v>13</v>
      </c>
      <c r="C731" s="167" t="s">
        <v>70</v>
      </c>
      <c r="D731" s="168" t="s">
        <v>1260</v>
      </c>
      <c r="E731" s="168" t="s">
        <v>770</v>
      </c>
      <c r="F731" s="169" t="s">
        <v>770</v>
      </c>
      <c r="G731" s="122" t="s">
        <v>770</v>
      </c>
      <c r="H731" s="170">
        <v>6661589</v>
      </c>
      <c r="I731" s="168" t="s">
        <v>1200</v>
      </c>
      <c r="J731" s="168" t="s">
        <v>770</v>
      </c>
    </row>
    <row r="732" spans="2:10" ht="12" x14ac:dyDescent="0.15">
      <c r="B732" s="121">
        <v>13</v>
      </c>
      <c r="C732" s="167" t="s">
        <v>70</v>
      </c>
      <c r="D732" s="168" t="s">
        <v>1261</v>
      </c>
      <c r="E732" s="168" t="s">
        <v>770</v>
      </c>
      <c r="F732" s="169" t="s">
        <v>770</v>
      </c>
      <c r="G732" s="122" t="s">
        <v>770</v>
      </c>
      <c r="H732" s="170">
        <v>12874761</v>
      </c>
      <c r="I732" s="168" t="s">
        <v>1200</v>
      </c>
      <c r="J732" s="168" t="s">
        <v>770</v>
      </c>
    </row>
    <row r="733" spans="2:10" ht="12" x14ac:dyDescent="0.15">
      <c r="B733" s="121">
        <v>13</v>
      </c>
      <c r="C733" s="167" t="s">
        <v>70</v>
      </c>
      <c r="D733" s="168" t="s">
        <v>1262</v>
      </c>
      <c r="E733" s="168" t="s">
        <v>770</v>
      </c>
      <c r="F733" s="169" t="s">
        <v>770</v>
      </c>
      <c r="G733" s="122" t="s">
        <v>770</v>
      </c>
      <c r="H733" s="170">
        <v>2098491</v>
      </c>
      <c r="I733" s="168" t="s">
        <v>1200</v>
      </c>
      <c r="J733" s="168" t="s">
        <v>770</v>
      </c>
    </row>
    <row r="734" spans="2:10" ht="12" x14ac:dyDescent="0.15">
      <c r="B734" s="121">
        <v>13</v>
      </c>
      <c r="C734" s="167" t="s">
        <v>70</v>
      </c>
      <c r="D734" s="168" t="s">
        <v>1263</v>
      </c>
      <c r="E734" s="168" t="s">
        <v>770</v>
      </c>
      <c r="F734" s="169" t="s">
        <v>770</v>
      </c>
      <c r="G734" s="122" t="s">
        <v>770</v>
      </c>
      <c r="H734" s="170">
        <v>324762</v>
      </c>
      <c r="I734" s="168" t="s">
        <v>1200</v>
      </c>
      <c r="J734" s="168" t="s">
        <v>770</v>
      </c>
    </row>
    <row r="735" spans="2:10" ht="12" x14ac:dyDescent="0.15">
      <c r="B735" s="121">
        <v>13</v>
      </c>
      <c r="C735" s="167" t="s">
        <v>70</v>
      </c>
      <c r="D735" s="168" t="s">
        <v>1264</v>
      </c>
      <c r="E735" s="168" t="s">
        <v>770</v>
      </c>
      <c r="F735" s="169" t="s">
        <v>770</v>
      </c>
      <c r="G735" s="122" t="s">
        <v>770</v>
      </c>
      <c r="H735" s="170">
        <v>7098690</v>
      </c>
      <c r="I735" s="168" t="s">
        <v>1200</v>
      </c>
      <c r="J735" s="168" t="s">
        <v>770</v>
      </c>
    </row>
    <row r="736" spans="2:10" ht="12" x14ac:dyDescent="0.15">
      <c r="B736" s="121">
        <v>13</v>
      </c>
      <c r="C736" s="167" t="s">
        <v>70</v>
      </c>
      <c r="D736" s="168" t="s">
        <v>1265</v>
      </c>
      <c r="E736" s="168" t="s">
        <v>770</v>
      </c>
      <c r="F736" s="169" t="s">
        <v>770</v>
      </c>
      <c r="G736" s="122" t="s">
        <v>770</v>
      </c>
      <c r="H736" s="170">
        <v>6525316</v>
      </c>
      <c r="I736" s="168" t="s">
        <v>1200</v>
      </c>
      <c r="J736" s="168" t="s">
        <v>770</v>
      </c>
    </row>
    <row r="737" spans="2:10" ht="12" x14ac:dyDescent="0.15">
      <c r="B737" s="121">
        <v>13</v>
      </c>
      <c r="C737" s="167" t="s">
        <v>70</v>
      </c>
      <c r="D737" s="168" t="s">
        <v>1266</v>
      </c>
      <c r="E737" s="168" t="s">
        <v>770</v>
      </c>
      <c r="F737" s="169" t="s">
        <v>770</v>
      </c>
      <c r="G737" s="122" t="s">
        <v>770</v>
      </c>
      <c r="H737" s="170">
        <v>12604927</v>
      </c>
      <c r="I737" s="168" t="s">
        <v>1200</v>
      </c>
      <c r="J737" s="168" t="s">
        <v>770</v>
      </c>
    </row>
    <row r="738" spans="2:10" ht="12" x14ac:dyDescent="0.15">
      <c r="B738" s="121">
        <v>13</v>
      </c>
      <c r="C738" s="167" t="s">
        <v>70</v>
      </c>
      <c r="D738" s="168" t="s">
        <v>1266</v>
      </c>
      <c r="E738" s="168" t="s">
        <v>770</v>
      </c>
      <c r="F738" s="169" t="s">
        <v>770</v>
      </c>
      <c r="G738" s="122" t="s">
        <v>770</v>
      </c>
      <c r="H738" s="170">
        <v>-12604927</v>
      </c>
      <c r="I738" s="168" t="s">
        <v>1200</v>
      </c>
      <c r="J738" s="168" t="s">
        <v>770</v>
      </c>
    </row>
    <row r="739" spans="2:10" ht="12" x14ac:dyDescent="0.15">
      <c r="B739" s="121">
        <v>13</v>
      </c>
      <c r="C739" s="167" t="s">
        <v>70</v>
      </c>
      <c r="D739" s="168" t="s">
        <v>1266</v>
      </c>
      <c r="E739" s="168" t="s">
        <v>770</v>
      </c>
      <c r="F739" s="169" t="s">
        <v>770</v>
      </c>
      <c r="G739" s="122" t="s">
        <v>770</v>
      </c>
      <c r="H739" s="170">
        <v>12604927</v>
      </c>
      <c r="I739" s="168" t="s">
        <v>1200</v>
      </c>
      <c r="J739" s="168" t="s">
        <v>770</v>
      </c>
    </row>
    <row r="740" spans="2:10" ht="12" x14ac:dyDescent="0.15">
      <c r="B740" s="121">
        <v>13</v>
      </c>
      <c r="C740" s="167" t="s">
        <v>70</v>
      </c>
      <c r="D740" s="168" t="s">
        <v>1267</v>
      </c>
      <c r="E740" s="168" t="s">
        <v>770</v>
      </c>
      <c r="F740" s="169" t="s">
        <v>770</v>
      </c>
      <c r="G740" s="122" t="s">
        <v>770</v>
      </c>
      <c r="H740" s="170">
        <v>1601316</v>
      </c>
      <c r="I740" s="168" t="s">
        <v>1200</v>
      </c>
      <c r="J740" s="168" t="s">
        <v>770</v>
      </c>
    </row>
    <row r="741" spans="2:10" ht="12" x14ac:dyDescent="0.15">
      <c r="B741" s="121">
        <v>13</v>
      </c>
      <c r="C741" s="167" t="s">
        <v>70</v>
      </c>
      <c r="D741" s="168" t="s">
        <v>1268</v>
      </c>
      <c r="E741" s="168" t="s">
        <v>770</v>
      </c>
      <c r="F741" s="169" t="s">
        <v>770</v>
      </c>
      <c r="G741" s="122" t="s">
        <v>770</v>
      </c>
      <c r="H741" s="170">
        <v>2850317</v>
      </c>
      <c r="I741" s="168" t="s">
        <v>1200</v>
      </c>
      <c r="J741" s="168" t="s">
        <v>770</v>
      </c>
    </row>
    <row r="742" spans="2:10" ht="12" x14ac:dyDescent="0.15">
      <c r="B742" s="121">
        <v>13</v>
      </c>
      <c r="C742" s="167" t="s">
        <v>70</v>
      </c>
      <c r="D742" s="168" t="s">
        <v>1255</v>
      </c>
      <c r="E742" s="168" t="s">
        <v>770</v>
      </c>
      <c r="F742" s="169" t="s">
        <v>770</v>
      </c>
      <c r="G742" s="122" t="s">
        <v>770</v>
      </c>
      <c r="H742" s="170">
        <v>4983171</v>
      </c>
      <c r="I742" s="168" t="s">
        <v>1200</v>
      </c>
      <c r="J742" s="168" t="s">
        <v>770</v>
      </c>
    </row>
    <row r="743" spans="2:10" ht="12" x14ac:dyDescent="0.15">
      <c r="B743" s="121">
        <v>13</v>
      </c>
      <c r="C743" s="167" t="s">
        <v>70</v>
      </c>
      <c r="D743" s="168" t="s">
        <v>1269</v>
      </c>
      <c r="E743" s="168" t="s">
        <v>770</v>
      </c>
      <c r="F743" s="169" t="s">
        <v>770</v>
      </c>
      <c r="G743" s="122" t="s">
        <v>770</v>
      </c>
      <c r="H743" s="170">
        <v>8234999</v>
      </c>
      <c r="I743" s="168" t="s">
        <v>1200</v>
      </c>
      <c r="J743" s="168" t="s">
        <v>770</v>
      </c>
    </row>
    <row r="744" spans="2:10" ht="12" x14ac:dyDescent="0.15">
      <c r="B744" s="121">
        <v>13</v>
      </c>
      <c r="C744" s="167" t="s">
        <v>70</v>
      </c>
      <c r="D744" s="168" t="s">
        <v>1270</v>
      </c>
      <c r="E744" s="168" t="s">
        <v>770</v>
      </c>
      <c r="F744" s="169" t="s">
        <v>770</v>
      </c>
      <c r="G744" s="122" t="s">
        <v>770</v>
      </c>
      <c r="H744" s="170">
        <v>10885659</v>
      </c>
      <c r="I744" s="168" t="s">
        <v>1200</v>
      </c>
      <c r="J744" s="168" t="s">
        <v>770</v>
      </c>
    </row>
    <row r="745" spans="2:10" ht="12" x14ac:dyDescent="0.15">
      <c r="B745" s="121">
        <v>13</v>
      </c>
      <c r="C745" s="167" t="s">
        <v>70</v>
      </c>
      <c r="D745" s="168" t="s">
        <v>1271</v>
      </c>
      <c r="E745" s="168" t="s">
        <v>770</v>
      </c>
      <c r="F745" s="169" t="s">
        <v>770</v>
      </c>
      <c r="G745" s="122" t="s">
        <v>770</v>
      </c>
      <c r="H745" s="170">
        <v>289274</v>
      </c>
      <c r="I745" s="168" t="s">
        <v>1200</v>
      </c>
      <c r="J745" s="168" t="s">
        <v>770</v>
      </c>
    </row>
    <row r="746" spans="2:10" ht="12" x14ac:dyDescent="0.15">
      <c r="B746" s="121">
        <v>13</v>
      </c>
      <c r="C746" s="167" t="s">
        <v>70</v>
      </c>
      <c r="D746" s="168" t="s">
        <v>1272</v>
      </c>
      <c r="E746" s="168" t="s">
        <v>770</v>
      </c>
      <c r="F746" s="169" t="s">
        <v>770</v>
      </c>
      <c r="G746" s="122" t="s">
        <v>770</v>
      </c>
      <c r="H746" s="170">
        <v>4519401</v>
      </c>
      <c r="I746" s="168" t="s">
        <v>1200</v>
      </c>
      <c r="J746" s="168" t="s">
        <v>770</v>
      </c>
    </row>
    <row r="747" spans="2:10" ht="12" x14ac:dyDescent="0.15">
      <c r="B747" s="121">
        <v>13</v>
      </c>
      <c r="C747" s="167" t="s">
        <v>70</v>
      </c>
      <c r="D747" s="168" t="s">
        <v>1273</v>
      </c>
      <c r="E747" s="168" t="s">
        <v>770</v>
      </c>
      <c r="F747" s="169" t="s">
        <v>770</v>
      </c>
      <c r="G747" s="122" t="s">
        <v>770</v>
      </c>
      <c r="H747" s="170">
        <v>10102673</v>
      </c>
      <c r="I747" s="168" t="s">
        <v>1200</v>
      </c>
      <c r="J747" s="168" t="s">
        <v>770</v>
      </c>
    </row>
    <row r="748" spans="2:10" ht="12" x14ac:dyDescent="0.15">
      <c r="B748" s="121">
        <v>13</v>
      </c>
      <c r="C748" s="167" t="s">
        <v>70</v>
      </c>
      <c r="D748" s="168" t="s">
        <v>1274</v>
      </c>
      <c r="E748" s="168" t="s">
        <v>770</v>
      </c>
      <c r="F748" s="169" t="s">
        <v>770</v>
      </c>
      <c r="G748" s="122" t="s">
        <v>770</v>
      </c>
      <c r="H748" s="170">
        <v>4841150</v>
      </c>
      <c r="I748" s="168" t="s">
        <v>1200</v>
      </c>
      <c r="J748" s="168" t="s">
        <v>770</v>
      </c>
    </row>
    <row r="749" spans="2:10" ht="12" x14ac:dyDescent="0.15">
      <c r="B749" s="121">
        <v>13</v>
      </c>
      <c r="C749" s="167" t="s">
        <v>70</v>
      </c>
      <c r="D749" s="168" t="s">
        <v>1275</v>
      </c>
      <c r="E749" s="168" t="s">
        <v>770</v>
      </c>
      <c r="F749" s="169" t="s">
        <v>770</v>
      </c>
      <c r="G749" s="122" t="s">
        <v>770</v>
      </c>
      <c r="H749" s="170">
        <v>3538682</v>
      </c>
      <c r="I749" s="168" t="s">
        <v>1200</v>
      </c>
      <c r="J749" s="168" t="s">
        <v>770</v>
      </c>
    </row>
    <row r="750" spans="2:10" ht="12" x14ac:dyDescent="0.15">
      <c r="B750" s="121">
        <v>13</v>
      </c>
      <c r="C750" s="167" t="s">
        <v>70</v>
      </c>
      <c r="D750" s="168" t="s">
        <v>1276</v>
      </c>
      <c r="E750" s="168" t="s">
        <v>770</v>
      </c>
      <c r="F750" s="169" t="s">
        <v>770</v>
      </c>
      <c r="G750" s="122" t="s">
        <v>770</v>
      </c>
      <c r="H750" s="170">
        <v>2907377</v>
      </c>
      <c r="I750" s="168" t="s">
        <v>1200</v>
      </c>
      <c r="J750" s="168" t="s">
        <v>770</v>
      </c>
    </row>
    <row r="751" spans="2:10" ht="12" x14ac:dyDescent="0.15">
      <c r="B751" s="121">
        <v>13</v>
      </c>
      <c r="C751" s="167" t="s">
        <v>70</v>
      </c>
      <c r="D751" s="168" t="s">
        <v>1277</v>
      </c>
      <c r="E751" s="168" t="s">
        <v>770</v>
      </c>
      <c r="F751" s="169" t="s">
        <v>770</v>
      </c>
      <c r="G751" s="122" t="s">
        <v>770</v>
      </c>
      <c r="H751" s="170">
        <v>2485033</v>
      </c>
      <c r="I751" s="168" t="s">
        <v>1200</v>
      </c>
      <c r="J751" s="168" t="s">
        <v>770</v>
      </c>
    </row>
    <row r="752" spans="2:10" ht="12" x14ac:dyDescent="0.15">
      <c r="B752" s="121">
        <v>13</v>
      </c>
      <c r="C752" s="167" t="s">
        <v>70</v>
      </c>
      <c r="D752" s="168" t="s">
        <v>1278</v>
      </c>
      <c r="E752" s="168" t="s">
        <v>770</v>
      </c>
      <c r="F752" s="169" t="s">
        <v>770</v>
      </c>
      <c r="G752" s="122" t="s">
        <v>770</v>
      </c>
      <c r="H752" s="170">
        <v>13517053</v>
      </c>
      <c r="I752" s="168" t="s">
        <v>1200</v>
      </c>
      <c r="J752" s="168" t="s">
        <v>770</v>
      </c>
    </row>
    <row r="753" spans="2:10" ht="12" x14ac:dyDescent="0.15">
      <c r="B753" s="121">
        <v>13</v>
      </c>
      <c r="C753" s="167" t="s">
        <v>70</v>
      </c>
      <c r="D753" s="168" t="s">
        <v>1279</v>
      </c>
      <c r="E753" s="168" t="s">
        <v>770</v>
      </c>
      <c r="F753" s="169" t="s">
        <v>770</v>
      </c>
      <c r="G753" s="122" t="s">
        <v>770</v>
      </c>
      <c r="H753" s="170">
        <v>3066848</v>
      </c>
      <c r="I753" s="168" t="s">
        <v>1200</v>
      </c>
      <c r="J753" s="168" t="s">
        <v>770</v>
      </c>
    </row>
    <row r="754" spans="2:10" ht="12" x14ac:dyDescent="0.15">
      <c r="B754" s="121">
        <v>13</v>
      </c>
      <c r="C754" s="167" t="s">
        <v>70</v>
      </c>
      <c r="D754" s="168" t="s">
        <v>1280</v>
      </c>
      <c r="E754" s="168" t="s">
        <v>770</v>
      </c>
      <c r="F754" s="169" t="s">
        <v>770</v>
      </c>
      <c r="G754" s="122" t="s">
        <v>770</v>
      </c>
      <c r="H754" s="170">
        <v>1500456</v>
      </c>
      <c r="I754" s="168" t="s">
        <v>1200</v>
      </c>
      <c r="J754" s="168" t="s">
        <v>770</v>
      </c>
    </row>
    <row r="755" spans="2:10" ht="12" x14ac:dyDescent="0.15">
      <c r="B755" s="121">
        <v>13</v>
      </c>
      <c r="C755" s="167" t="s">
        <v>70</v>
      </c>
      <c r="D755" s="168" t="s">
        <v>1255</v>
      </c>
      <c r="E755" s="168" t="s">
        <v>770</v>
      </c>
      <c r="F755" s="169" t="s">
        <v>770</v>
      </c>
      <c r="G755" s="122" t="s">
        <v>770</v>
      </c>
      <c r="H755" s="170">
        <v>4487526</v>
      </c>
      <c r="I755" s="168" t="s">
        <v>1200</v>
      </c>
      <c r="J755" s="168" t="s">
        <v>770</v>
      </c>
    </row>
    <row r="756" spans="2:10" ht="12" x14ac:dyDescent="0.15">
      <c r="B756" s="121">
        <v>13</v>
      </c>
      <c r="C756" s="167" t="s">
        <v>70</v>
      </c>
      <c r="D756" s="168" t="s">
        <v>1281</v>
      </c>
      <c r="E756" s="168" t="s">
        <v>770</v>
      </c>
      <c r="F756" s="169" t="s">
        <v>770</v>
      </c>
      <c r="G756" s="122" t="s">
        <v>770</v>
      </c>
      <c r="H756" s="170">
        <v>2490733</v>
      </c>
      <c r="I756" s="168" t="s">
        <v>1200</v>
      </c>
      <c r="J756" s="168" t="s">
        <v>770</v>
      </c>
    </row>
    <row r="757" spans="2:10" ht="12" x14ac:dyDescent="0.15">
      <c r="B757" s="121">
        <v>13</v>
      </c>
      <c r="C757" s="167" t="s">
        <v>70</v>
      </c>
      <c r="D757" s="168" t="s">
        <v>1282</v>
      </c>
      <c r="E757" s="168" t="s">
        <v>770</v>
      </c>
      <c r="F757" s="169" t="s">
        <v>770</v>
      </c>
      <c r="G757" s="122" t="s">
        <v>770</v>
      </c>
      <c r="H757" s="170">
        <v>7570568</v>
      </c>
      <c r="I757" s="168" t="s">
        <v>1200</v>
      </c>
      <c r="J757" s="168" t="s">
        <v>770</v>
      </c>
    </row>
    <row r="758" spans="2:10" ht="12" x14ac:dyDescent="0.15">
      <c r="B758" s="121">
        <v>13</v>
      </c>
      <c r="C758" s="167" t="s">
        <v>70</v>
      </c>
      <c r="D758" s="168" t="s">
        <v>1283</v>
      </c>
      <c r="E758" s="168" t="s">
        <v>770</v>
      </c>
      <c r="F758" s="169" t="s">
        <v>770</v>
      </c>
      <c r="G758" s="122" t="s">
        <v>770</v>
      </c>
      <c r="H758" s="170">
        <v>3850524</v>
      </c>
      <c r="I758" s="168" t="s">
        <v>1200</v>
      </c>
      <c r="J758" s="168" t="s">
        <v>770</v>
      </c>
    </row>
    <row r="759" spans="2:10" ht="12" x14ac:dyDescent="0.15">
      <c r="B759" s="121">
        <v>13</v>
      </c>
      <c r="C759" s="167" t="s">
        <v>70</v>
      </c>
      <c r="D759" s="168" t="s">
        <v>1284</v>
      </c>
      <c r="E759" s="168" t="s">
        <v>770</v>
      </c>
      <c r="F759" s="169" t="s">
        <v>770</v>
      </c>
      <c r="G759" s="122" t="s">
        <v>770</v>
      </c>
      <c r="H759" s="170">
        <v>4383884</v>
      </c>
      <c r="I759" s="168" t="s">
        <v>1200</v>
      </c>
      <c r="J759" s="168" t="s">
        <v>770</v>
      </c>
    </row>
    <row r="760" spans="2:10" ht="12" x14ac:dyDescent="0.15">
      <c r="B760" s="121">
        <v>13</v>
      </c>
      <c r="C760" s="167" t="s">
        <v>70</v>
      </c>
      <c r="D760" s="168" t="s">
        <v>1285</v>
      </c>
      <c r="E760" s="168" t="s">
        <v>770</v>
      </c>
      <c r="F760" s="169" t="s">
        <v>770</v>
      </c>
      <c r="G760" s="122" t="s">
        <v>770</v>
      </c>
      <c r="H760" s="170">
        <v>7244111</v>
      </c>
      <c r="I760" s="168" t="s">
        <v>1200</v>
      </c>
      <c r="J760" s="168" t="s">
        <v>770</v>
      </c>
    </row>
    <row r="761" spans="2:10" ht="12" x14ac:dyDescent="0.15">
      <c r="B761" s="121">
        <v>13</v>
      </c>
      <c r="C761" s="167" t="s">
        <v>70</v>
      </c>
      <c r="D761" s="168" t="s">
        <v>1286</v>
      </c>
      <c r="E761" s="168" t="s">
        <v>770</v>
      </c>
      <c r="F761" s="169" t="s">
        <v>770</v>
      </c>
      <c r="G761" s="122" t="s">
        <v>770</v>
      </c>
      <c r="H761" s="170">
        <v>10169851</v>
      </c>
      <c r="I761" s="168" t="s">
        <v>1200</v>
      </c>
      <c r="J761" s="168" t="s">
        <v>770</v>
      </c>
    </row>
    <row r="762" spans="2:10" ht="12" x14ac:dyDescent="0.15">
      <c r="B762" s="121">
        <v>13</v>
      </c>
      <c r="C762" s="167" t="s">
        <v>70</v>
      </c>
      <c r="D762" s="168" t="s">
        <v>1287</v>
      </c>
      <c r="E762" s="168" t="s">
        <v>770</v>
      </c>
      <c r="F762" s="169" t="s">
        <v>770</v>
      </c>
      <c r="G762" s="122" t="s">
        <v>770</v>
      </c>
      <c r="H762" s="170">
        <v>1022389</v>
      </c>
      <c r="I762" s="168" t="s">
        <v>1200</v>
      </c>
      <c r="J762" s="168" t="s">
        <v>770</v>
      </c>
    </row>
    <row r="763" spans="2:10" ht="12" x14ac:dyDescent="0.15">
      <c r="B763" s="121">
        <v>13</v>
      </c>
      <c r="C763" s="167" t="s">
        <v>70</v>
      </c>
      <c r="D763" s="168" t="s">
        <v>1288</v>
      </c>
      <c r="E763" s="168" t="s">
        <v>770</v>
      </c>
      <c r="F763" s="169" t="s">
        <v>770</v>
      </c>
      <c r="G763" s="122" t="s">
        <v>770</v>
      </c>
      <c r="H763" s="170">
        <v>1438140</v>
      </c>
      <c r="I763" s="168" t="s">
        <v>1200</v>
      </c>
      <c r="J763" s="168" t="s">
        <v>770</v>
      </c>
    </row>
    <row r="764" spans="2:10" ht="12" x14ac:dyDescent="0.15">
      <c r="B764" s="121">
        <v>13</v>
      </c>
      <c r="C764" s="167" t="s">
        <v>70</v>
      </c>
      <c r="D764" s="168" t="s">
        <v>1289</v>
      </c>
      <c r="E764" s="168" t="s">
        <v>770</v>
      </c>
      <c r="F764" s="169" t="s">
        <v>770</v>
      </c>
      <c r="G764" s="122" t="s">
        <v>770</v>
      </c>
      <c r="H764" s="170">
        <v>3227104</v>
      </c>
      <c r="I764" s="168" t="s">
        <v>1200</v>
      </c>
      <c r="J764" s="168" t="s">
        <v>770</v>
      </c>
    </row>
    <row r="765" spans="2:10" ht="12" x14ac:dyDescent="0.15">
      <c r="B765" s="121">
        <v>13</v>
      </c>
      <c r="C765" s="167" t="s">
        <v>70</v>
      </c>
      <c r="D765" s="168" t="s">
        <v>1290</v>
      </c>
      <c r="E765" s="168" t="s">
        <v>770</v>
      </c>
      <c r="F765" s="169" t="s">
        <v>770</v>
      </c>
      <c r="G765" s="122" t="s">
        <v>770</v>
      </c>
      <c r="H765" s="170">
        <v>7811788</v>
      </c>
      <c r="I765" s="168" t="s">
        <v>1200</v>
      </c>
      <c r="J765" s="168" t="s">
        <v>770</v>
      </c>
    </row>
    <row r="766" spans="2:10" ht="12" x14ac:dyDescent="0.15">
      <c r="B766" s="121">
        <v>13</v>
      </c>
      <c r="C766" s="167" t="s">
        <v>70</v>
      </c>
      <c r="D766" s="168" t="s">
        <v>1291</v>
      </c>
      <c r="E766" s="168" t="s">
        <v>770</v>
      </c>
      <c r="F766" s="169" t="s">
        <v>770</v>
      </c>
      <c r="G766" s="122" t="s">
        <v>770</v>
      </c>
      <c r="H766" s="170">
        <v>4537036</v>
      </c>
      <c r="I766" s="168" t="s">
        <v>1200</v>
      </c>
      <c r="J766" s="168" t="s">
        <v>770</v>
      </c>
    </row>
    <row r="767" spans="2:10" ht="12" x14ac:dyDescent="0.15">
      <c r="B767" s="121">
        <v>13</v>
      </c>
      <c r="C767" s="167" t="s">
        <v>70</v>
      </c>
      <c r="D767" s="168" t="s">
        <v>1292</v>
      </c>
      <c r="E767" s="168" t="s">
        <v>770</v>
      </c>
      <c r="F767" s="169" t="s">
        <v>770</v>
      </c>
      <c r="G767" s="122" t="s">
        <v>770</v>
      </c>
      <c r="H767" s="170">
        <v>1293622</v>
      </c>
      <c r="I767" s="168" t="s">
        <v>1200</v>
      </c>
      <c r="J767" s="168" t="s">
        <v>770</v>
      </c>
    </row>
    <row r="768" spans="2:10" ht="12" x14ac:dyDescent="0.15">
      <c r="B768" s="121">
        <v>13</v>
      </c>
      <c r="C768" s="167" t="s">
        <v>70</v>
      </c>
      <c r="D768" s="168" t="s">
        <v>1293</v>
      </c>
      <c r="E768" s="168" t="s">
        <v>770</v>
      </c>
      <c r="F768" s="169" t="s">
        <v>770</v>
      </c>
      <c r="G768" s="122" t="s">
        <v>770</v>
      </c>
      <c r="H768" s="170">
        <v>3786459</v>
      </c>
      <c r="I768" s="168" t="s">
        <v>1200</v>
      </c>
      <c r="J768" s="168" t="s">
        <v>770</v>
      </c>
    </row>
    <row r="769" spans="2:10" ht="12" x14ac:dyDescent="0.15">
      <c r="B769" s="121">
        <v>13</v>
      </c>
      <c r="C769" s="167" t="s">
        <v>70</v>
      </c>
      <c r="D769" s="168" t="s">
        <v>1294</v>
      </c>
      <c r="E769" s="168" t="s">
        <v>770</v>
      </c>
      <c r="F769" s="169" t="s">
        <v>770</v>
      </c>
      <c r="G769" s="122" t="s">
        <v>770</v>
      </c>
      <c r="H769" s="170">
        <v>14738190</v>
      </c>
      <c r="I769" s="168" t="s">
        <v>1200</v>
      </c>
      <c r="J769" s="168" t="s">
        <v>770</v>
      </c>
    </row>
    <row r="770" spans="2:10" ht="12" x14ac:dyDescent="0.15">
      <c r="B770" s="121">
        <v>13</v>
      </c>
      <c r="C770" s="167" t="s">
        <v>70</v>
      </c>
      <c r="D770" s="168" t="s">
        <v>1295</v>
      </c>
      <c r="E770" s="168" t="s">
        <v>770</v>
      </c>
      <c r="F770" s="169" t="s">
        <v>770</v>
      </c>
      <c r="G770" s="122" t="s">
        <v>770</v>
      </c>
      <c r="H770" s="170">
        <v>1152092</v>
      </c>
      <c r="I770" s="168" t="s">
        <v>1200</v>
      </c>
      <c r="J770" s="168" t="s">
        <v>770</v>
      </c>
    </row>
    <row r="771" spans="2:10" ht="12" x14ac:dyDescent="0.15">
      <c r="B771" s="121">
        <v>13</v>
      </c>
      <c r="C771" s="167" t="s">
        <v>70</v>
      </c>
      <c r="D771" s="168" t="s">
        <v>1296</v>
      </c>
      <c r="E771" s="168" t="s">
        <v>770</v>
      </c>
      <c r="F771" s="169" t="s">
        <v>770</v>
      </c>
      <c r="G771" s="122" t="s">
        <v>770</v>
      </c>
      <c r="H771" s="170">
        <v>2736908</v>
      </c>
      <c r="I771" s="168" t="s">
        <v>1200</v>
      </c>
      <c r="J771" s="168" t="s">
        <v>770</v>
      </c>
    </row>
    <row r="772" spans="2:10" ht="12" x14ac:dyDescent="0.15">
      <c r="B772" s="121">
        <v>13</v>
      </c>
      <c r="C772" s="167" t="s">
        <v>70</v>
      </c>
      <c r="D772" s="168" t="s">
        <v>1297</v>
      </c>
      <c r="E772" s="168" t="s">
        <v>770</v>
      </c>
      <c r="F772" s="169" t="s">
        <v>770</v>
      </c>
      <c r="G772" s="122" t="s">
        <v>770</v>
      </c>
      <c r="H772" s="170">
        <v>9432848</v>
      </c>
      <c r="I772" s="168" t="s">
        <v>1200</v>
      </c>
      <c r="J772" s="168" t="s">
        <v>770</v>
      </c>
    </row>
    <row r="773" spans="2:10" ht="12" x14ac:dyDescent="0.15">
      <c r="B773" s="121">
        <v>13</v>
      </c>
      <c r="C773" s="167" t="s">
        <v>70</v>
      </c>
      <c r="D773" s="168" t="s">
        <v>1298</v>
      </c>
      <c r="E773" s="168" t="s">
        <v>770</v>
      </c>
      <c r="F773" s="169" t="s">
        <v>770</v>
      </c>
      <c r="G773" s="122" t="s">
        <v>770</v>
      </c>
      <c r="H773" s="170">
        <v>2368165</v>
      </c>
      <c r="I773" s="168" t="s">
        <v>1200</v>
      </c>
      <c r="J773" s="168" t="s">
        <v>770</v>
      </c>
    </row>
    <row r="774" spans="2:10" ht="12" x14ac:dyDescent="0.15">
      <c r="B774" s="121">
        <v>13</v>
      </c>
      <c r="C774" s="167" t="s">
        <v>70</v>
      </c>
      <c r="D774" s="168" t="s">
        <v>1299</v>
      </c>
      <c r="E774" s="168" t="s">
        <v>770</v>
      </c>
      <c r="F774" s="169" t="s">
        <v>770</v>
      </c>
      <c r="G774" s="122" t="s">
        <v>770</v>
      </c>
      <c r="H774" s="170">
        <v>9786229</v>
      </c>
      <c r="I774" s="168" t="s">
        <v>1200</v>
      </c>
      <c r="J774" s="168" t="s">
        <v>770</v>
      </c>
    </row>
    <row r="775" spans="2:10" ht="12" x14ac:dyDescent="0.15">
      <c r="B775" s="121">
        <v>13</v>
      </c>
      <c r="C775" s="167" t="s">
        <v>70</v>
      </c>
      <c r="D775" s="168" t="s">
        <v>1300</v>
      </c>
      <c r="E775" s="168" t="s">
        <v>770</v>
      </c>
      <c r="F775" s="169" t="s">
        <v>770</v>
      </c>
      <c r="G775" s="122" t="s">
        <v>770</v>
      </c>
      <c r="H775" s="170">
        <v>1820710</v>
      </c>
      <c r="I775" s="168" t="s">
        <v>1200</v>
      </c>
      <c r="J775" s="168" t="s">
        <v>770</v>
      </c>
    </row>
    <row r="776" spans="2:10" ht="12" x14ac:dyDescent="0.15">
      <c r="B776" s="121">
        <v>13</v>
      </c>
      <c r="C776" s="167" t="s">
        <v>70</v>
      </c>
      <c r="D776" s="168" t="s">
        <v>1301</v>
      </c>
      <c r="E776" s="168" t="s">
        <v>770</v>
      </c>
      <c r="F776" s="169" t="s">
        <v>770</v>
      </c>
      <c r="G776" s="122" t="s">
        <v>770</v>
      </c>
      <c r="H776" s="170">
        <v>389389</v>
      </c>
      <c r="I776" s="168" t="s">
        <v>1200</v>
      </c>
      <c r="J776" s="168" t="s">
        <v>770</v>
      </c>
    </row>
    <row r="777" spans="2:10" ht="12" x14ac:dyDescent="0.15">
      <c r="B777" s="121">
        <v>13</v>
      </c>
      <c r="C777" s="167" t="s">
        <v>70</v>
      </c>
      <c r="D777" s="168" t="s">
        <v>1302</v>
      </c>
      <c r="E777" s="168" t="s">
        <v>770</v>
      </c>
      <c r="F777" s="169" t="s">
        <v>770</v>
      </c>
      <c r="G777" s="122" t="s">
        <v>770</v>
      </c>
      <c r="H777" s="170">
        <v>-6405000</v>
      </c>
      <c r="I777" s="168" t="s">
        <v>1200</v>
      </c>
      <c r="J777" s="168" t="s">
        <v>770</v>
      </c>
    </row>
    <row r="778" spans="2:10" ht="12" x14ac:dyDescent="0.15">
      <c r="B778" s="121">
        <v>13</v>
      </c>
      <c r="C778" s="167" t="s">
        <v>70</v>
      </c>
      <c r="D778" s="168" t="s">
        <v>1303</v>
      </c>
      <c r="E778" s="168" t="s">
        <v>770</v>
      </c>
      <c r="F778" s="169" t="s">
        <v>770</v>
      </c>
      <c r="G778" s="122" t="s">
        <v>770</v>
      </c>
      <c r="H778" s="170">
        <v>-3785000</v>
      </c>
      <c r="I778" s="168" t="s">
        <v>1200</v>
      </c>
      <c r="J778" s="168" t="s">
        <v>770</v>
      </c>
    </row>
    <row r="779" spans="2:10" ht="12" x14ac:dyDescent="0.15">
      <c r="B779" s="121">
        <v>13</v>
      </c>
      <c r="C779" s="167" t="s">
        <v>70</v>
      </c>
      <c r="D779" s="168" t="s">
        <v>1304</v>
      </c>
      <c r="E779" s="168" t="s">
        <v>770</v>
      </c>
      <c r="F779" s="169" t="s">
        <v>770</v>
      </c>
      <c r="G779" s="122" t="s">
        <v>770</v>
      </c>
      <c r="H779" s="170">
        <v>-3595000</v>
      </c>
      <c r="I779" s="168" t="s">
        <v>1200</v>
      </c>
      <c r="J779" s="168" t="s">
        <v>770</v>
      </c>
    </row>
    <row r="780" spans="2:10" ht="12" x14ac:dyDescent="0.15">
      <c r="B780" s="121">
        <v>13</v>
      </c>
      <c r="C780" s="167" t="s">
        <v>70</v>
      </c>
      <c r="D780" s="168" t="s">
        <v>1305</v>
      </c>
      <c r="E780" s="168" t="s">
        <v>770</v>
      </c>
      <c r="F780" s="169" t="s">
        <v>770</v>
      </c>
      <c r="G780" s="122" t="s">
        <v>770</v>
      </c>
      <c r="H780" s="170">
        <v>-5655000</v>
      </c>
      <c r="I780" s="168" t="s">
        <v>1200</v>
      </c>
      <c r="J780" s="168" t="s">
        <v>770</v>
      </c>
    </row>
    <row r="781" spans="2:10" ht="12" x14ac:dyDescent="0.15">
      <c r="B781" s="121">
        <v>13</v>
      </c>
      <c r="C781" s="167" t="s">
        <v>70</v>
      </c>
      <c r="D781" s="168" t="s">
        <v>1306</v>
      </c>
      <c r="E781" s="168" t="s">
        <v>770</v>
      </c>
      <c r="F781" s="169" t="s">
        <v>770</v>
      </c>
      <c r="G781" s="122" t="s">
        <v>770</v>
      </c>
      <c r="H781" s="170">
        <v>-5220000</v>
      </c>
      <c r="I781" s="168" t="s">
        <v>1200</v>
      </c>
      <c r="J781" s="168" t="s">
        <v>770</v>
      </c>
    </row>
    <row r="782" spans="2:10" ht="12" x14ac:dyDescent="0.15">
      <c r="B782" s="121">
        <v>13</v>
      </c>
      <c r="C782" s="167" t="s">
        <v>70</v>
      </c>
      <c r="D782" s="168" t="s">
        <v>1307</v>
      </c>
      <c r="E782" s="168" t="s">
        <v>770</v>
      </c>
      <c r="F782" s="169" t="s">
        <v>770</v>
      </c>
      <c r="G782" s="122" t="s">
        <v>770</v>
      </c>
      <c r="H782" s="170">
        <v>-7385000</v>
      </c>
      <c r="I782" s="168" t="s">
        <v>1200</v>
      </c>
      <c r="J782" s="168" t="s">
        <v>770</v>
      </c>
    </row>
    <row r="783" spans="2:10" ht="12" x14ac:dyDescent="0.15">
      <c r="B783" s="121">
        <v>13</v>
      </c>
      <c r="C783" s="167" t="s">
        <v>70</v>
      </c>
      <c r="D783" s="168" t="s">
        <v>1308</v>
      </c>
      <c r="E783" s="168" t="s">
        <v>770</v>
      </c>
      <c r="F783" s="169" t="s">
        <v>770</v>
      </c>
      <c r="G783" s="122" t="s">
        <v>770</v>
      </c>
      <c r="H783" s="170">
        <v>131230000</v>
      </c>
      <c r="I783" s="168" t="s">
        <v>1200</v>
      </c>
      <c r="J783" s="168" t="s">
        <v>770</v>
      </c>
    </row>
    <row r="784" spans="2:10" ht="12" x14ac:dyDescent="0.15">
      <c r="B784" s="121">
        <v>13</v>
      </c>
      <c r="C784" s="167" t="s">
        <v>70</v>
      </c>
      <c r="D784" s="168" t="s">
        <v>1309</v>
      </c>
      <c r="E784" s="168" t="s">
        <v>770</v>
      </c>
      <c r="F784" s="169" t="s">
        <v>770</v>
      </c>
      <c r="G784" s="122" t="s">
        <v>770</v>
      </c>
      <c r="H784" s="170">
        <v>204751000</v>
      </c>
      <c r="I784" s="168" t="s">
        <v>1200</v>
      </c>
      <c r="J784" s="168" t="s">
        <v>770</v>
      </c>
    </row>
    <row r="785" spans="2:10" ht="12" x14ac:dyDescent="0.15">
      <c r="B785" s="121">
        <v>13</v>
      </c>
      <c r="C785" s="167" t="s">
        <v>70</v>
      </c>
      <c r="D785" s="168" t="s">
        <v>1310</v>
      </c>
      <c r="E785" s="168" t="s">
        <v>770</v>
      </c>
      <c r="F785" s="169" t="s">
        <v>770</v>
      </c>
      <c r="G785" s="122" t="s">
        <v>770</v>
      </c>
      <c r="H785" s="170">
        <v>207181000</v>
      </c>
      <c r="I785" s="168" t="s">
        <v>1200</v>
      </c>
      <c r="J785" s="168" t="s">
        <v>770</v>
      </c>
    </row>
    <row r="786" spans="2:10" ht="12" x14ac:dyDescent="0.15">
      <c r="B786" s="121">
        <v>13</v>
      </c>
      <c r="C786" s="167" t="s">
        <v>70</v>
      </c>
      <c r="D786" s="168" t="s">
        <v>1311</v>
      </c>
      <c r="E786" s="168" t="s">
        <v>770</v>
      </c>
      <c r="F786" s="169" t="s">
        <v>770</v>
      </c>
      <c r="G786" s="122" t="s">
        <v>770</v>
      </c>
      <c r="H786" s="170">
        <v>-200000000</v>
      </c>
      <c r="I786" s="168" t="s">
        <v>1200</v>
      </c>
      <c r="J786" s="168" t="s">
        <v>770</v>
      </c>
    </row>
    <row r="787" spans="2:10" ht="12" x14ac:dyDescent="0.15">
      <c r="B787" s="121">
        <v>13</v>
      </c>
      <c r="C787" s="167" t="s">
        <v>70</v>
      </c>
      <c r="D787" s="168" t="s">
        <v>1312</v>
      </c>
      <c r="E787" s="168" t="s">
        <v>770</v>
      </c>
      <c r="F787" s="169" t="s">
        <v>770</v>
      </c>
      <c r="G787" s="122" t="s">
        <v>770</v>
      </c>
      <c r="H787" s="170">
        <v>-207181000</v>
      </c>
      <c r="I787" s="168" t="s">
        <v>1200</v>
      </c>
      <c r="J787" s="168" t="s">
        <v>770</v>
      </c>
    </row>
    <row r="788" spans="2:10" ht="12" x14ac:dyDescent="0.15">
      <c r="B788" s="121">
        <v>13</v>
      </c>
      <c r="C788" s="167" t="s">
        <v>70</v>
      </c>
      <c r="D788" s="168" t="s">
        <v>1313</v>
      </c>
      <c r="E788" s="168" t="s">
        <v>770</v>
      </c>
      <c r="F788" s="169" t="s">
        <v>770</v>
      </c>
      <c r="G788" s="122" t="s">
        <v>770</v>
      </c>
      <c r="H788" s="170">
        <v>200000000</v>
      </c>
      <c r="I788" s="168" t="s">
        <v>1200</v>
      </c>
      <c r="J788" s="168" t="s">
        <v>770</v>
      </c>
    </row>
    <row r="789" spans="2:10" ht="12" x14ac:dyDescent="0.15">
      <c r="B789" s="121">
        <v>13</v>
      </c>
      <c r="C789" s="167" t="s">
        <v>70</v>
      </c>
      <c r="D789" s="168" t="s">
        <v>1314</v>
      </c>
      <c r="E789" s="168" t="s">
        <v>770</v>
      </c>
      <c r="F789" s="169" t="s">
        <v>770</v>
      </c>
      <c r="G789" s="122" t="s">
        <v>770</v>
      </c>
      <c r="H789" s="170">
        <v>-202501000</v>
      </c>
      <c r="I789" s="168" t="s">
        <v>1200</v>
      </c>
      <c r="J789" s="168" t="s">
        <v>770</v>
      </c>
    </row>
    <row r="790" spans="2:10" ht="12" x14ac:dyDescent="0.15">
      <c r="B790" s="121">
        <v>13</v>
      </c>
      <c r="C790" s="167" t="s">
        <v>70</v>
      </c>
      <c r="D790" s="168" t="s">
        <v>1315</v>
      </c>
      <c r="E790" s="168" t="s">
        <v>770</v>
      </c>
      <c r="F790" s="169" t="s">
        <v>770</v>
      </c>
      <c r="G790" s="122" t="s">
        <v>770</v>
      </c>
      <c r="H790" s="170">
        <v>144920000</v>
      </c>
      <c r="I790" s="168" t="s">
        <v>1200</v>
      </c>
      <c r="J790" s="168" t="s">
        <v>770</v>
      </c>
    </row>
    <row r="791" spans="2:10" ht="12" x14ac:dyDescent="0.15">
      <c r="B791" s="121">
        <v>13</v>
      </c>
      <c r="C791" s="167" t="s">
        <v>70</v>
      </c>
      <c r="D791" s="168" t="s">
        <v>1316</v>
      </c>
      <c r="E791" s="168" t="s">
        <v>770</v>
      </c>
      <c r="F791" s="169" t="s">
        <v>770</v>
      </c>
      <c r="G791" s="122" t="s">
        <v>770</v>
      </c>
      <c r="H791" s="170">
        <v>146140000</v>
      </c>
      <c r="I791" s="168" t="s">
        <v>1200</v>
      </c>
      <c r="J791" s="168" t="s">
        <v>770</v>
      </c>
    </row>
    <row r="792" spans="2:10" ht="12" x14ac:dyDescent="0.15">
      <c r="B792" s="121">
        <v>13</v>
      </c>
      <c r="C792" s="167" t="s">
        <v>70</v>
      </c>
      <c r="D792" s="168" t="s">
        <v>1317</v>
      </c>
      <c r="E792" s="168" t="s">
        <v>770</v>
      </c>
      <c r="F792" s="169" t="s">
        <v>770</v>
      </c>
      <c r="G792" s="122" t="s">
        <v>770</v>
      </c>
      <c r="H792" s="170">
        <v>-131230000</v>
      </c>
      <c r="I792" s="168" t="s">
        <v>1200</v>
      </c>
      <c r="J792" s="168" t="s">
        <v>770</v>
      </c>
    </row>
    <row r="793" spans="2:10" ht="12" x14ac:dyDescent="0.15">
      <c r="B793" s="121">
        <v>13</v>
      </c>
      <c r="C793" s="167" t="s">
        <v>70</v>
      </c>
      <c r="D793" s="168" t="s">
        <v>1318</v>
      </c>
      <c r="E793" s="168" t="s">
        <v>770</v>
      </c>
      <c r="F793" s="169" t="s">
        <v>770</v>
      </c>
      <c r="G793" s="122" t="s">
        <v>770</v>
      </c>
      <c r="H793" s="170">
        <v>178184000</v>
      </c>
      <c r="I793" s="168" t="s">
        <v>1200</v>
      </c>
      <c r="J793" s="168" t="s">
        <v>770</v>
      </c>
    </row>
    <row r="794" spans="2:10" ht="12" x14ac:dyDescent="0.15">
      <c r="B794" s="121">
        <v>13</v>
      </c>
      <c r="C794" s="167" t="s">
        <v>70</v>
      </c>
      <c r="D794" s="168" t="s">
        <v>1319</v>
      </c>
      <c r="E794" s="168" t="s">
        <v>770</v>
      </c>
      <c r="F794" s="169" t="s">
        <v>770</v>
      </c>
      <c r="G794" s="122" t="s">
        <v>770</v>
      </c>
      <c r="H794" s="170">
        <v>151695000</v>
      </c>
      <c r="I794" s="168" t="s">
        <v>1200</v>
      </c>
      <c r="J794" s="168" t="s">
        <v>770</v>
      </c>
    </row>
    <row r="795" spans="2:10" ht="12" x14ac:dyDescent="0.15">
      <c r="B795" s="121">
        <v>13</v>
      </c>
      <c r="C795" s="167" t="s">
        <v>70</v>
      </c>
      <c r="D795" s="168" t="s">
        <v>1320</v>
      </c>
      <c r="E795" s="168" t="s">
        <v>770</v>
      </c>
      <c r="F795" s="169" t="s">
        <v>770</v>
      </c>
      <c r="G795" s="122" t="s">
        <v>770</v>
      </c>
      <c r="H795" s="170">
        <v>-144920000</v>
      </c>
      <c r="I795" s="168" t="s">
        <v>1200</v>
      </c>
      <c r="J795" s="168" t="s">
        <v>770</v>
      </c>
    </row>
    <row r="796" spans="2:10" ht="12" x14ac:dyDescent="0.15">
      <c r="B796" s="121">
        <v>13</v>
      </c>
      <c r="C796" s="167" t="s">
        <v>70</v>
      </c>
      <c r="D796" s="168" t="s">
        <v>1321</v>
      </c>
      <c r="E796" s="168" t="s">
        <v>770</v>
      </c>
      <c r="F796" s="169" t="s">
        <v>770</v>
      </c>
      <c r="G796" s="122" t="s">
        <v>770</v>
      </c>
      <c r="H796" s="170">
        <v>162060000</v>
      </c>
      <c r="I796" s="168" t="s">
        <v>1200</v>
      </c>
      <c r="J796" s="168" t="s">
        <v>770</v>
      </c>
    </row>
    <row r="797" spans="2:10" ht="12" x14ac:dyDescent="0.15">
      <c r="B797" s="121">
        <v>13</v>
      </c>
      <c r="C797" s="167" t="s">
        <v>70</v>
      </c>
      <c r="D797" s="168" t="s">
        <v>1322</v>
      </c>
      <c r="E797" s="168" t="s">
        <v>770</v>
      </c>
      <c r="F797" s="169" t="s">
        <v>770</v>
      </c>
      <c r="G797" s="122" t="s">
        <v>770</v>
      </c>
      <c r="H797" s="170">
        <v>102900000</v>
      </c>
      <c r="I797" s="168" t="s">
        <v>1200</v>
      </c>
      <c r="J797" s="168" t="s">
        <v>770</v>
      </c>
    </row>
    <row r="798" spans="2:10" ht="12" x14ac:dyDescent="0.15">
      <c r="B798" s="121">
        <v>13</v>
      </c>
      <c r="C798" s="167" t="s">
        <v>70</v>
      </c>
      <c r="D798" s="168" t="s">
        <v>1323</v>
      </c>
      <c r="E798" s="168" t="s">
        <v>770</v>
      </c>
      <c r="F798" s="169" t="s">
        <v>770</v>
      </c>
      <c r="G798" s="122" t="s">
        <v>770</v>
      </c>
      <c r="H798" s="170">
        <v>102900000</v>
      </c>
      <c r="I798" s="168" t="s">
        <v>1200</v>
      </c>
      <c r="J798" s="168" t="s">
        <v>770</v>
      </c>
    </row>
    <row r="799" spans="2:10" ht="12" x14ac:dyDescent="0.15">
      <c r="B799" s="121">
        <v>13</v>
      </c>
      <c r="C799" s="167" t="s">
        <v>70</v>
      </c>
      <c r="D799" s="168" t="s">
        <v>1324</v>
      </c>
      <c r="E799" s="168" t="s">
        <v>770</v>
      </c>
      <c r="F799" s="169" t="s">
        <v>770</v>
      </c>
      <c r="G799" s="122" t="s">
        <v>770</v>
      </c>
      <c r="H799" s="170">
        <v>178184000</v>
      </c>
      <c r="I799" s="168" t="s">
        <v>1200</v>
      </c>
      <c r="J799" s="168" t="s">
        <v>770</v>
      </c>
    </row>
    <row r="800" spans="2:10" ht="12" x14ac:dyDescent="0.15">
      <c r="B800" s="121">
        <v>13</v>
      </c>
      <c r="C800" s="167" t="s">
        <v>70</v>
      </c>
      <c r="D800" s="168" t="s">
        <v>1325</v>
      </c>
      <c r="E800" s="168" t="s">
        <v>770</v>
      </c>
      <c r="F800" s="169" t="s">
        <v>770</v>
      </c>
      <c r="G800" s="122" t="s">
        <v>770</v>
      </c>
      <c r="H800" s="170">
        <v>169800000</v>
      </c>
      <c r="I800" s="168" t="s">
        <v>1200</v>
      </c>
      <c r="J800" s="168" t="s">
        <v>770</v>
      </c>
    </row>
    <row r="801" spans="2:10" ht="12" x14ac:dyDescent="0.15">
      <c r="B801" s="121">
        <v>13</v>
      </c>
      <c r="C801" s="167" t="s">
        <v>70</v>
      </c>
      <c r="D801" s="168" t="s">
        <v>1326</v>
      </c>
      <c r="E801" s="168" t="s">
        <v>770</v>
      </c>
      <c r="F801" s="169" t="s">
        <v>770</v>
      </c>
      <c r="G801" s="122" t="s">
        <v>770</v>
      </c>
      <c r="H801" s="170">
        <v>178034000</v>
      </c>
      <c r="I801" s="168" t="s">
        <v>1200</v>
      </c>
      <c r="J801" s="168" t="s">
        <v>770</v>
      </c>
    </row>
    <row r="802" spans="2:10" ht="12" x14ac:dyDescent="0.15">
      <c r="B802" s="121">
        <v>13</v>
      </c>
      <c r="C802" s="167" t="s">
        <v>70</v>
      </c>
      <c r="D802" s="168" t="s">
        <v>1327</v>
      </c>
      <c r="E802" s="168" t="s">
        <v>770</v>
      </c>
      <c r="F802" s="169" t="s">
        <v>770</v>
      </c>
      <c r="G802" s="122" t="s">
        <v>770</v>
      </c>
      <c r="H802" s="170">
        <v>199022000</v>
      </c>
      <c r="I802" s="168" t="s">
        <v>1200</v>
      </c>
      <c r="J802" s="168" t="s">
        <v>770</v>
      </c>
    </row>
    <row r="803" spans="2:10" ht="12" x14ac:dyDescent="0.15">
      <c r="B803" s="121">
        <v>13</v>
      </c>
      <c r="C803" s="167" t="s">
        <v>70</v>
      </c>
      <c r="D803" s="168" t="s">
        <v>1328</v>
      </c>
      <c r="E803" s="168" t="s">
        <v>770</v>
      </c>
      <c r="F803" s="169" t="s">
        <v>770</v>
      </c>
      <c r="G803" s="122" t="s">
        <v>770</v>
      </c>
      <c r="H803" s="170">
        <v>-178184000</v>
      </c>
      <c r="I803" s="168" t="s">
        <v>1200</v>
      </c>
      <c r="J803" s="168" t="s">
        <v>770</v>
      </c>
    </row>
    <row r="804" spans="2:10" ht="12" x14ac:dyDescent="0.15">
      <c r="B804" s="121">
        <v>13</v>
      </c>
      <c r="C804" s="167" t="s">
        <v>70</v>
      </c>
      <c r="D804" s="168" t="s">
        <v>1329</v>
      </c>
      <c r="E804" s="168" t="s">
        <v>770</v>
      </c>
      <c r="F804" s="169" t="s">
        <v>770</v>
      </c>
      <c r="G804" s="122" t="s">
        <v>770</v>
      </c>
      <c r="H804" s="170">
        <v>-162060000</v>
      </c>
      <c r="I804" s="168" t="s">
        <v>1200</v>
      </c>
      <c r="J804" s="168" t="s">
        <v>770</v>
      </c>
    </row>
    <row r="805" spans="2:10" ht="12" x14ac:dyDescent="0.15">
      <c r="B805" s="121">
        <v>13</v>
      </c>
      <c r="C805" s="167" t="s">
        <v>70</v>
      </c>
      <c r="D805" s="168" t="s">
        <v>1330</v>
      </c>
      <c r="E805" s="168" t="s">
        <v>770</v>
      </c>
      <c r="F805" s="169" t="s">
        <v>770</v>
      </c>
      <c r="G805" s="122" t="s">
        <v>770</v>
      </c>
      <c r="H805" s="170">
        <v>-102900000</v>
      </c>
      <c r="I805" s="168" t="s">
        <v>1200</v>
      </c>
      <c r="J805" s="168" t="s">
        <v>770</v>
      </c>
    </row>
    <row r="806" spans="2:10" ht="12" x14ac:dyDescent="0.15">
      <c r="B806" s="121">
        <v>13</v>
      </c>
      <c r="C806" s="167" t="s">
        <v>70</v>
      </c>
      <c r="D806" s="168" t="s">
        <v>1331</v>
      </c>
      <c r="E806" s="168" t="s">
        <v>770</v>
      </c>
      <c r="F806" s="169" t="s">
        <v>770</v>
      </c>
      <c r="G806" s="122" t="s">
        <v>770</v>
      </c>
      <c r="H806" s="170">
        <v>-102900000</v>
      </c>
      <c r="I806" s="168" t="s">
        <v>1200</v>
      </c>
      <c r="J806" s="168" t="s">
        <v>770</v>
      </c>
    </row>
    <row r="807" spans="2:10" ht="12" x14ac:dyDescent="0.15">
      <c r="B807" s="121">
        <v>13</v>
      </c>
      <c r="C807" s="167" t="s">
        <v>70</v>
      </c>
      <c r="D807" s="168" t="s">
        <v>1332</v>
      </c>
      <c r="E807" s="168" t="s">
        <v>770</v>
      </c>
      <c r="F807" s="169" t="s">
        <v>770</v>
      </c>
      <c r="G807" s="122" t="s">
        <v>770</v>
      </c>
      <c r="H807" s="170">
        <v>-36000000</v>
      </c>
      <c r="I807" s="168" t="s">
        <v>1200</v>
      </c>
      <c r="J807" s="168" t="s">
        <v>770</v>
      </c>
    </row>
    <row r="808" spans="2:10" ht="12" x14ac:dyDescent="0.15">
      <c r="B808" s="121">
        <v>13</v>
      </c>
      <c r="C808" s="167" t="s">
        <v>70</v>
      </c>
      <c r="D808" s="168" t="s">
        <v>1333</v>
      </c>
      <c r="E808" s="168" t="s">
        <v>770</v>
      </c>
      <c r="F808" s="169" t="s">
        <v>770</v>
      </c>
      <c r="G808" s="122" t="s">
        <v>770</v>
      </c>
      <c r="H808" s="170">
        <v>-48000000</v>
      </c>
      <c r="I808" s="168" t="s">
        <v>1200</v>
      </c>
      <c r="J808" s="168" t="s">
        <v>770</v>
      </c>
    </row>
    <row r="809" spans="2:10" ht="12" x14ac:dyDescent="0.15">
      <c r="B809" s="121">
        <v>13</v>
      </c>
      <c r="C809" s="167" t="s">
        <v>70</v>
      </c>
      <c r="D809" s="168" t="s">
        <v>1333</v>
      </c>
      <c r="E809" s="168" t="s">
        <v>770</v>
      </c>
      <c r="F809" s="169" t="s">
        <v>770</v>
      </c>
      <c r="G809" s="122" t="s">
        <v>770</v>
      </c>
      <c r="H809" s="170">
        <v>-48000000</v>
      </c>
      <c r="I809" s="168" t="s">
        <v>1200</v>
      </c>
      <c r="J809" s="168" t="s">
        <v>770</v>
      </c>
    </row>
    <row r="810" spans="2:10" ht="12" x14ac:dyDescent="0.15">
      <c r="B810" s="121">
        <v>13</v>
      </c>
      <c r="C810" s="167" t="s">
        <v>70</v>
      </c>
      <c r="D810" s="168" t="s">
        <v>1334</v>
      </c>
      <c r="E810" s="168" t="s">
        <v>770</v>
      </c>
      <c r="F810" s="169" t="s">
        <v>770</v>
      </c>
      <c r="G810" s="122" t="s">
        <v>770</v>
      </c>
      <c r="H810" s="170">
        <v>-48000000</v>
      </c>
      <c r="I810" s="168" t="s">
        <v>1200</v>
      </c>
      <c r="J810" s="168" t="s">
        <v>770</v>
      </c>
    </row>
    <row r="811" spans="2:10" ht="12" x14ac:dyDescent="0.15">
      <c r="B811" s="121">
        <v>13</v>
      </c>
      <c r="C811" s="167" t="s">
        <v>70</v>
      </c>
      <c r="D811" s="168" t="s">
        <v>1335</v>
      </c>
      <c r="E811" s="168" t="s">
        <v>770</v>
      </c>
      <c r="F811" s="169" t="s">
        <v>770</v>
      </c>
      <c r="G811" s="122" t="s">
        <v>770</v>
      </c>
      <c r="H811" s="170">
        <v>1653061143</v>
      </c>
      <c r="I811" s="168" t="s">
        <v>1200</v>
      </c>
      <c r="J811" s="168" t="s">
        <v>770</v>
      </c>
    </row>
    <row r="812" spans="2:10" ht="12" x14ac:dyDescent="0.15">
      <c r="B812" s="121">
        <v>13</v>
      </c>
      <c r="C812" s="167" t="s">
        <v>70</v>
      </c>
      <c r="D812" s="168" t="s">
        <v>1336</v>
      </c>
      <c r="E812" s="168" t="s">
        <v>770</v>
      </c>
      <c r="F812" s="169" t="s">
        <v>770</v>
      </c>
      <c r="G812" s="122" t="s">
        <v>770</v>
      </c>
      <c r="H812" s="170">
        <v>880000</v>
      </c>
      <c r="I812" s="168" t="s">
        <v>1200</v>
      </c>
      <c r="J812" s="168" t="s">
        <v>770</v>
      </c>
    </row>
    <row r="813" spans="2:10" ht="12" x14ac:dyDescent="0.15">
      <c r="B813" s="121">
        <v>13</v>
      </c>
      <c r="C813" s="167" t="s">
        <v>70</v>
      </c>
      <c r="D813" s="168" t="s">
        <v>1337</v>
      </c>
      <c r="E813" s="168" t="s">
        <v>770</v>
      </c>
      <c r="F813" s="169" t="s">
        <v>770</v>
      </c>
      <c r="G813" s="122" t="s">
        <v>770</v>
      </c>
      <c r="H813" s="170">
        <v>245000000</v>
      </c>
      <c r="I813" s="168" t="s">
        <v>1200</v>
      </c>
      <c r="J813" s="168" t="s">
        <v>770</v>
      </c>
    </row>
    <row r="814" spans="2:10" ht="12" x14ac:dyDescent="0.15">
      <c r="B814" s="121">
        <v>13</v>
      </c>
      <c r="C814" s="167" t="s">
        <v>70</v>
      </c>
      <c r="D814" s="168" t="s">
        <v>1338</v>
      </c>
      <c r="E814" s="168" t="s">
        <v>770</v>
      </c>
      <c r="F814" s="169" t="s">
        <v>770</v>
      </c>
      <c r="G814" s="122" t="s">
        <v>770</v>
      </c>
      <c r="H814" s="170">
        <v>358000000</v>
      </c>
      <c r="I814" s="168" t="s">
        <v>1200</v>
      </c>
      <c r="J814" s="168" t="s">
        <v>770</v>
      </c>
    </row>
    <row r="815" spans="2:10" ht="12" x14ac:dyDescent="0.15">
      <c r="B815" s="121">
        <v>13</v>
      </c>
      <c r="C815" s="167" t="s">
        <v>70</v>
      </c>
      <c r="D815" s="168" t="s">
        <v>1139</v>
      </c>
      <c r="E815" s="168" t="s">
        <v>770</v>
      </c>
      <c r="F815" s="169" t="s">
        <v>770</v>
      </c>
      <c r="G815" s="122" t="s">
        <v>770</v>
      </c>
      <c r="H815" s="170">
        <v>3785000</v>
      </c>
      <c r="I815" s="168" t="s">
        <v>1200</v>
      </c>
      <c r="J815" s="168" t="s">
        <v>770</v>
      </c>
    </row>
    <row r="816" spans="2:10" ht="12" x14ac:dyDescent="0.15">
      <c r="B816" s="121">
        <v>13</v>
      </c>
      <c r="C816" s="167" t="s">
        <v>70</v>
      </c>
      <c r="D816" s="168" t="s">
        <v>1139</v>
      </c>
      <c r="E816" s="168" t="s">
        <v>770</v>
      </c>
      <c r="F816" s="169" t="s">
        <v>770</v>
      </c>
      <c r="G816" s="122" t="s">
        <v>770</v>
      </c>
      <c r="H816" s="170">
        <v>6405000</v>
      </c>
      <c r="I816" s="168" t="s">
        <v>1200</v>
      </c>
      <c r="J816" s="168" t="s">
        <v>770</v>
      </c>
    </row>
    <row r="817" spans="2:10" ht="12" x14ac:dyDescent="0.15">
      <c r="B817" s="121">
        <v>13</v>
      </c>
      <c r="C817" s="167" t="s">
        <v>70</v>
      </c>
      <c r="D817" s="168" t="s">
        <v>1139</v>
      </c>
      <c r="E817" s="168" t="s">
        <v>770</v>
      </c>
      <c r="F817" s="169" t="s">
        <v>770</v>
      </c>
      <c r="G817" s="122" t="s">
        <v>770</v>
      </c>
      <c r="H817" s="170">
        <v>7385000</v>
      </c>
      <c r="I817" s="168" t="s">
        <v>1200</v>
      </c>
      <c r="J817" s="168" t="s">
        <v>770</v>
      </c>
    </row>
    <row r="818" spans="2:10" ht="12" x14ac:dyDescent="0.15">
      <c r="B818" s="121">
        <v>13</v>
      </c>
      <c r="C818" s="167" t="s">
        <v>70</v>
      </c>
      <c r="D818" s="168" t="s">
        <v>1139</v>
      </c>
      <c r="E818" s="168" t="s">
        <v>770</v>
      </c>
      <c r="F818" s="169" t="s">
        <v>770</v>
      </c>
      <c r="G818" s="122" t="s">
        <v>770</v>
      </c>
      <c r="H818" s="170">
        <v>5655000</v>
      </c>
      <c r="I818" s="168" t="s">
        <v>1200</v>
      </c>
      <c r="J818" s="168" t="s">
        <v>770</v>
      </c>
    </row>
    <row r="819" spans="2:10" ht="12" x14ac:dyDescent="0.15">
      <c r="B819" s="121">
        <v>13</v>
      </c>
      <c r="C819" s="167" t="s">
        <v>70</v>
      </c>
      <c r="D819" s="168" t="s">
        <v>1139</v>
      </c>
      <c r="E819" s="168" t="s">
        <v>770</v>
      </c>
      <c r="F819" s="169" t="s">
        <v>770</v>
      </c>
      <c r="G819" s="122" t="s">
        <v>770</v>
      </c>
      <c r="H819" s="170">
        <v>3595000</v>
      </c>
      <c r="I819" s="168" t="s">
        <v>1200</v>
      </c>
      <c r="J819" s="168" t="s">
        <v>770</v>
      </c>
    </row>
    <row r="820" spans="2:10" ht="12" x14ac:dyDescent="0.15">
      <c r="B820" s="121">
        <v>13</v>
      </c>
      <c r="C820" s="167" t="s">
        <v>70</v>
      </c>
      <c r="D820" s="168" t="s">
        <v>1139</v>
      </c>
      <c r="E820" s="168" t="s">
        <v>770</v>
      </c>
      <c r="F820" s="169" t="s">
        <v>770</v>
      </c>
      <c r="G820" s="122" t="s">
        <v>770</v>
      </c>
      <c r="H820" s="170">
        <v>5220000</v>
      </c>
      <c r="I820" s="168" t="s">
        <v>1200</v>
      </c>
      <c r="J820" s="168" t="s">
        <v>770</v>
      </c>
    </row>
    <row r="821" spans="2:10" ht="12" x14ac:dyDescent="0.15">
      <c r="B821" s="121">
        <v>13</v>
      </c>
      <c r="C821" s="167" t="s">
        <v>70</v>
      </c>
      <c r="D821" s="168" t="s">
        <v>1139</v>
      </c>
      <c r="E821" s="168" t="s">
        <v>770</v>
      </c>
      <c r="F821" s="169" t="s">
        <v>770</v>
      </c>
      <c r="G821" s="122" t="s">
        <v>770</v>
      </c>
      <c r="H821" s="170">
        <v>-3595000</v>
      </c>
      <c r="I821" s="168" t="s">
        <v>1200</v>
      </c>
      <c r="J821" s="168" t="s">
        <v>770</v>
      </c>
    </row>
    <row r="822" spans="2:10" ht="12" x14ac:dyDescent="0.15">
      <c r="B822" s="121">
        <v>13</v>
      </c>
      <c r="C822" s="167" t="s">
        <v>70</v>
      </c>
      <c r="D822" s="168" t="s">
        <v>1139</v>
      </c>
      <c r="E822" s="168" t="s">
        <v>770</v>
      </c>
      <c r="F822" s="169" t="s">
        <v>770</v>
      </c>
      <c r="G822" s="122" t="s">
        <v>770</v>
      </c>
      <c r="H822" s="170">
        <v>-5220000</v>
      </c>
      <c r="I822" s="168" t="s">
        <v>1200</v>
      </c>
      <c r="J822" s="168" t="s">
        <v>770</v>
      </c>
    </row>
    <row r="823" spans="2:10" ht="12" x14ac:dyDescent="0.15">
      <c r="B823" s="121">
        <v>13</v>
      </c>
      <c r="C823" s="167" t="s">
        <v>70</v>
      </c>
      <c r="D823" s="168" t="s">
        <v>1139</v>
      </c>
      <c r="E823" s="168" t="s">
        <v>770</v>
      </c>
      <c r="F823" s="169" t="s">
        <v>770</v>
      </c>
      <c r="G823" s="122" t="s">
        <v>770</v>
      </c>
      <c r="H823" s="170">
        <v>-3785000</v>
      </c>
      <c r="I823" s="168" t="s">
        <v>1200</v>
      </c>
      <c r="J823" s="168" t="s">
        <v>770</v>
      </c>
    </row>
    <row r="824" spans="2:10" ht="12" x14ac:dyDescent="0.15">
      <c r="B824" s="121">
        <v>13</v>
      </c>
      <c r="C824" s="167" t="s">
        <v>70</v>
      </c>
      <c r="D824" s="168" t="s">
        <v>1139</v>
      </c>
      <c r="E824" s="168" t="s">
        <v>770</v>
      </c>
      <c r="F824" s="169" t="s">
        <v>770</v>
      </c>
      <c r="G824" s="122" t="s">
        <v>770</v>
      </c>
      <c r="H824" s="170">
        <v>-6405000</v>
      </c>
      <c r="I824" s="168" t="s">
        <v>1200</v>
      </c>
      <c r="J824" s="168" t="s">
        <v>770</v>
      </c>
    </row>
    <row r="825" spans="2:10" ht="12" x14ac:dyDescent="0.15">
      <c r="B825" s="121">
        <v>13</v>
      </c>
      <c r="C825" s="167" t="s">
        <v>70</v>
      </c>
      <c r="D825" s="168" t="s">
        <v>1139</v>
      </c>
      <c r="E825" s="168" t="s">
        <v>770</v>
      </c>
      <c r="F825" s="169" t="s">
        <v>770</v>
      </c>
      <c r="G825" s="122" t="s">
        <v>770</v>
      </c>
      <c r="H825" s="170">
        <v>-7385000</v>
      </c>
      <c r="I825" s="168" t="s">
        <v>1200</v>
      </c>
      <c r="J825" s="168" t="s">
        <v>770</v>
      </c>
    </row>
    <row r="826" spans="2:10" ht="12" x14ac:dyDescent="0.15">
      <c r="B826" s="121">
        <v>13</v>
      </c>
      <c r="C826" s="167" t="s">
        <v>70</v>
      </c>
      <c r="D826" s="168" t="s">
        <v>1139</v>
      </c>
      <c r="E826" s="168" t="s">
        <v>770</v>
      </c>
      <c r="F826" s="169" t="s">
        <v>770</v>
      </c>
      <c r="G826" s="122" t="s">
        <v>770</v>
      </c>
      <c r="H826" s="170">
        <v>-5655000</v>
      </c>
      <c r="I826" s="168" t="s">
        <v>1200</v>
      </c>
      <c r="J826" s="168" t="s">
        <v>770</v>
      </c>
    </row>
    <row r="827" spans="2:10" ht="12" x14ac:dyDescent="0.15">
      <c r="B827" s="121">
        <v>13</v>
      </c>
      <c r="C827" s="167" t="s">
        <v>70</v>
      </c>
      <c r="D827" s="168" t="s">
        <v>1139</v>
      </c>
      <c r="E827" s="168" t="s">
        <v>770</v>
      </c>
      <c r="F827" s="169" t="s">
        <v>770</v>
      </c>
      <c r="G827" s="122" t="s">
        <v>770</v>
      </c>
      <c r="H827" s="170">
        <v>7385000</v>
      </c>
      <c r="I827" s="168" t="s">
        <v>1200</v>
      </c>
      <c r="J827" s="168" t="s">
        <v>770</v>
      </c>
    </row>
    <row r="828" spans="2:10" ht="12" x14ac:dyDescent="0.15">
      <c r="B828" s="121">
        <v>13</v>
      </c>
      <c r="C828" s="167" t="s">
        <v>70</v>
      </c>
      <c r="D828" s="168" t="s">
        <v>1139</v>
      </c>
      <c r="E828" s="168" t="s">
        <v>770</v>
      </c>
      <c r="F828" s="169" t="s">
        <v>770</v>
      </c>
      <c r="G828" s="122" t="s">
        <v>770</v>
      </c>
      <c r="H828" s="170">
        <v>5655000</v>
      </c>
      <c r="I828" s="168" t="s">
        <v>1200</v>
      </c>
      <c r="J828" s="168" t="s">
        <v>770</v>
      </c>
    </row>
    <row r="829" spans="2:10" ht="12" x14ac:dyDescent="0.15">
      <c r="B829" s="121">
        <v>13</v>
      </c>
      <c r="C829" s="167" t="s">
        <v>70</v>
      </c>
      <c r="D829" s="168" t="s">
        <v>1339</v>
      </c>
      <c r="E829" s="168" t="s">
        <v>770</v>
      </c>
      <c r="F829" s="169" t="s">
        <v>770</v>
      </c>
      <c r="G829" s="122" t="s">
        <v>770</v>
      </c>
      <c r="H829" s="170">
        <v>31978296</v>
      </c>
      <c r="I829" s="168" t="s">
        <v>1200</v>
      </c>
      <c r="J829" s="168" t="s">
        <v>770</v>
      </c>
    </row>
    <row r="830" spans="2:10" ht="12" x14ac:dyDescent="0.15">
      <c r="B830" s="121">
        <v>13</v>
      </c>
      <c r="C830" s="167" t="s">
        <v>70</v>
      </c>
      <c r="D830" s="168" t="s">
        <v>1139</v>
      </c>
      <c r="E830" s="168" t="s">
        <v>770</v>
      </c>
      <c r="F830" s="169" t="s">
        <v>770</v>
      </c>
      <c r="G830" s="122" t="s">
        <v>770</v>
      </c>
      <c r="H830" s="170">
        <v>3595000</v>
      </c>
      <c r="I830" s="168" t="s">
        <v>1200</v>
      </c>
      <c r="J830" s="168" t="s">
        <v>770</v>
      </c>
    </row>
    <row r="831" spans="2:10" ht="12" x14ac:dyDescent="0.15">
      <c r="B831" s="121">
        <v>13</v>
      </c>
      <c r="C831" s="167" t="s">
        <v>70</v>
      </c>
      <c r="D831" s="168" t="s">
        <v>1139</v>
      </c>
      <c r="E831" s="168" t="s">
        <v>770</v>
      </c>
      <c r="F831" s="169" t="s">
        <v>770</v>
      </c>
      <c r="G831" s="122" t="s">
        <v>770</v>
      </c>
      <c r="H831" s="170">
        <v>5220000</v>
      </c>
      <c r="I831" s="168" t="s">
        <v>1200</v>
      </c>
      <c r="J831" s="168" t="s">
        <v>770</v>
      </c>
    </row>
    <row r="832" spans="2:10" ht="12" x14ac:dyDescent="0.15">
      <c r="B832" s="121">
        <v>13</v>
      </c>
      <c r="C832" s="167" t="s">
        <v>70</v>
      </c>
      <c r="D832" s="168" t="s">
        <v>1139</v>
      </c>
      <c r="E832" s="168" t="s">
        <v>770</v>
      </c>
      <c r="F832" s="169" t="s">
        <v>770</v>
      </c>
      <c r="G832" s="122" t="s">
        <v>770</v>
      </c>
      <c r="H832" s="170">
        <v>3785000</v>
      </c>
      <c r="I832" s="168" t="s">
        <v>1200</v>
      </c>
      <c r="J832" s="168" t="s">
        <v>770</v>
      </c>
    </row>
    <row r="833" spans="2:10" ht="12" x14ac:dyDescent="0.15">
      <c r="B833" s="121">
        <v>13</v>
      </c>
      <c r="C833" s="167" t="s">
        <v>70</v>
      </c>
      <c r="D833" s="168" t="s">
        <v>1139</v>
      </c>
      <c r="E833" s="168" t="s">
        <v>770</v>
      </c>
      <c r="F833" s="169" t="s">
        <v>770</v>
      </c>
      <c r="G833" s="122" t="s">
        <v>770</v>
      </c>
      <c r="H833" s="170">
        <v>6405000</v>
      </c>
      <c r="I833" s="168" t="s">
        <v>1200</v>
      </c>
      <c r="J833" s="168" t="s">
        <v>770</v>
      </c>
    </row>
    <row r="834" spans="2:10" ht="12" x14ac:dyDescent="0.15">
      <c r="B834" s="121">
        <v>13</v>
      </c>
      <c r="C834" s="167" t="s">
        <v>70</v>
      </c>
      <c r="D834" s="168" t="s">
        <v>1340</v>
      </c>
      <c r="E834" s="168" t="s">
        <v>770</v>
      </c>
      <c r="F834" s="169" t="s">
        <v>770</v>
      </c>
      <c r="G834" s="122" t="s">
        <v>770</v>
      </c>
      <c r="H834" s="170">
        <v>-5463729</v>
      </c>
      <c r="I834" s="168" t="s">
        <v>1200</v>
      </c>
      <c r="J834" s="168" t="s">
        <v>770</v>
      </c>
    </row>
    <row r="835" spans="2:10" ht="12" x14ac:dyDescent="0.15">
      <c r="B835" s="121">
        <v>13</v>
      </c>
      <c r="C835" s="167" t="s">
        <v>70</v>
      </c>
      <c r="D835" s="168" t="s">
        <v>1341</v>
      </c>
      <c r="E835" s="168" t="s">
        <v>770</v>
      </c>
      <c r="F835" s="169" t="s">
        <v>770</v>
      </c>
      <c r="G835" s="122" t="s">
        <v>770</v>
      </c>
      <c r="H835" s="170">
        <v>-5932203</v>
      </c>
      <c r="I835" s="168" t="s">
        <v>1200</v>
      </c>
      <c r="J835" s="168" t="s">
        <v>770</v>
      </c>
    </row>
    <row r="836" spans="2:10" ht="12" x14ac:dyDescent="0.15">
      <c r="B836" s="121">
        <v>13</v>
      </c>
      <c r="C836" s="167" t="s">
        <v>70</v>
      </c>
      <c r="D836" s="168" t="s">
        <v>1342</v>
      </c>
      <c r="E836" s="168" t="s">
        <v>770</v>
      </c>
      <c r="F836" s="169" t="s">
        <v>770</v>
      </c>
      <c r="G836" s="122" t="s">
        <v>770</v>
      </c>
      <c r="H836" s="170">
        <v>-7133220</v>
      </c>
      <c r="I836" s="168" t="s">
        <v>1200</v>
      </c>
      <c r="J836" s="168" t="s">
        <v>770</v>
      </c>
    </row>
    <row r="837" spans="2:10" ht="12" x14ac:dyDescent="0.15">
      <c r="B837" s="121">
        <v>13</v>
      </c>
      <c r="C837" s="167" t="s">
        <v>70</v>
      </c>
      <c r="D837" s="168" t="s">
        <v>1343</v>
      </c>
      <c r="E837" s="168" t="s">
        <v>770</v>
      </c>
      <c r="F837" s="169" t="s">
        <v>770</v>
      </c>
      <c r="G837" s="122" t="s">
        <v>770</v>
      </c>
      <c r="H837" s="170">
        <v>-7311186</v>
      </c>
      <c r="I837" s="168" t="s">
        <v>1200</v>
      </c>
      <c r="J837" s="168" t="s">
        <v>770</v>
      </c>
    </row>
    <row r="838" spans="2:10" ht="12" x14ac:dyDescent="0.15">
      <c r="B838" s="121">
        <v>13</v>
      </c>
      <c r="C838" s="167" t="s">
        <v>70</v>
      </c>
      <c r="D838" s="168" t="s">
        <v>1344</v>
      </c>
      <c r="E838" s="168" t="s">
        <v>770</v>
      </c>
      <c r="F838" s="169" t="s">
        <v>770</v>
      </c>
      <c r="G838" s="122" t="s">
        <v>770</v>
      </c>
      <c r="H838" s="170">
        <v>-31978296</v>
      </c>
      <c r="I838" s="168" t="s">
        <v>1200</v>
      </c>
      <c r="J838" s="168" t="s">
        <v>770</v>
      </c>
    </row>
    <row r="839" spans="2:10" ht="12" x14ac:dyDescent="0.15">
      <c r="B839" s="121">
        <v>13</v>
      </c>
      <c r="C839" s="167" t="s">
        <v>70</v>
      </c>
      <c r="D839" s="168" t="s">
        <v>1139</v>
      </c>
      <c r="E839" s="168" t="s">
        <v>770</v>
      </c>
      <c r="F839" s="169" t="s">
        <v>770</v>
      </c>
      <c r="G839" s="122" t="s">
        <v>770</v>
      </c>
      <c r="H839" s="170">
        <v>5434067</v>
      </c>
      <c r="I839" s="168" t="s">
        <v>1200</v>
      </c>
      <c r="J839" s="168" t="s">
        <v>770</v>
      </c>
    </row>
    <row r="840" spans="2:10" ht="12" x14ac:dyDescent="0.15">
      <c r="B840" s="121">
        <v>13</v>
      </c>
      <c r="C840" s="167" t="s">
        <v>70</v>
      </c>
      <c r="D840" s="168" t="s">
        <v>1139</v>
      </c>
      <c r="E840" s="168" t="s">
        <v>770</v>
      </c>
      <c r="F840" s="169" t="s">
        <v>770</v>
      </c>
      <c r="G840" s="122" t="s">
        <v>770</v>
      </c>
      <c r="H840" s="170">
        <v>4798474</v>
      </c>
      <c r="I840" s="168" t="s">
        <v>1200</v>
      </c>
      <c r="J840" s="168" t="s">
        <v>770</v>
      </c>
    </row>
    <row r="841" spans="2:10" ht="12" x14ac:dyDescent="0.15">
      <c r="B841" s="121">
        <v>13</v>
      </c>
      <c r="C841" s="167" t="s">
        <v>70</v>
      </c>
      <c r="D841" s="168" t="s">
        <v>1139</v>
      </c>
      <c r="E841" s="168" t="s">
        <v>770</v>
      </c>
      <c r="F841" s="169" t="s">
        <v>770</v>
      </c>
      <c r="G841" s="122" t="s">
        <v>770</v>
      </c>
      <c r="H841" s="170">
        <v>6264576</v>
      </c>
      <c r="I841" s="168" t="s">
        <v>1200</v>
      </c>
      <c r="J841" s="168" t="s">
        <v>770</v>
      </c>
    </row>
    <row r="842" spans="2:10" ht="12" x14ac:dyDescent="0.15">
      <c r="B842" s="121">
        <v>13</v>
      </c>
      <c r="C842" s="167" t="s">
        <v>70</v>
      </c>
      <c r="D842" s="168" t="s">
        <v>1139</v>
      </c>
      <c r="E842" s="168" t="s">
        <v>770</v>
      </c>
      <c r="F842" s="169" t="s">
        <v>770</v>
      </c>
      <c r="G842" s="122" t="s">
        <v>770</v>
      </c>
      <c r="H842" s="170">
        <v>3049661</v>
      </c>
      <c r="I842" s="168" t="s">
        <v>1200</v>
      </c>
      <c r="J842" s="168" t="s">
        <v>770</v>
      </c>
    </row>
    <row r="843" spans="2:10" ht="12" x14ac:dyDescent="0.15">
      <c r="B843" s="121">
        <v>13</v>
      </c>
      <c r="C843" s="167" t="s">
        <v>70</v>
      </c>
      <c r="D843" s="168" t="s">
        <v>1139</v>
      </c>
      <c r="E843" s="168" t="s">
        <v>770</v>
      </c>
      <c r="F843" s="169" t="s">
        <v>770</v>
      </c>
      <c r="G843" s="122" t="s">
        <v>770</v>
      </c>
      <c r="H843" s="170">
        <v>3212203</v>
      </c>
      <c r="I843" s="168" t="s">
        <v>1200</v>
      </c>
      <c r="J843" s="168" t="s">
        <v>770</v>
      </c>
    </row>
    <row r="844" spans="2:10" ht="12" x14ac:dyDescent="0.15">
      <c r="B844" s="121">
        <v>13</v>
      </c>
      <c r="C844" s="167" t="s">
        <v>70</v>
      </c>
      <c r="D844" s="168" t="s">
        <v>1139</v>
      </c>
      <c r="E844" s="168" t="s">
        <v>770</v>
      </c>
      <c r="F844" s="169" t="s">
        <v>770</v>
      </c>
      <c r="G844" s="122" t="s">
        <v>770</v>
      </c>
      <c r="H844" s="170">
        <v>4429830</v>
      </c>
      <c r="I844" s="168" t="s">
        <v>1200</v>
      </c>
      <c r="J844" s="168" t="s">
        <v>770</v>
      </c>
    </row>
    <row r="845" spans="2:10" ht="12" x14ac:dyDescent="0.15">
      <c r="B845" s="121">
        <v>13</v>
      </c>
      <c r="C845" s="167" t="s">
        <v>70</v>
      </c>
      <c r="D845" s="168" t="s">
        <v>1345</v>
      </c>
      <c r="E845" s="168" t="s">
        <v>770</v>
      </c>
      <c r="F845" s="169" t="s">
        <v>770</v>
      </c>
      <c r="G845" s="122" t="s">
        <v>770</v>
      </c>
      <c r="H845" s="170">
        <v>4799070</v>
      </c>
      <c r="I845" s="168" t="s">
        <v>1200</v>
      </c>
      <c r="J845" s="168" t="s">
        <v>770</v>
      </c>
    </row>
    <row r="846" spans="2:10" ht="12" x14ac:dyDescent="0.15">
      <c r="B846" s="121">
        <v>13</v>
      </c>
      <c r="C846" s="167" t="s">
        <v>70</v>
      </c>
      <c r="D846" s="168" t="s">
        <v>1346</v>
      </c>
      <c r="E846" s="168" t="s">
        <v>770</v>
      </c>
      <c r="F846" s="169" t="s">
        <v>770</v>
      </c>
      <c r="G846" s="122" t="s">
        <v>770</v>
      </c>
      <c r="H846" s="170">
        <v>3710000</v>
      </c>
      <c r="I846" s="168" t="s">
        <v>1200</v>
      </c>
      <c r="J846" s="168" t="s">
        <v>770</v>
      </c>
    </row>
    <row r="847" spans="2:10" ht="12" x14ac:dyDescent="0.15">
      <c r="B847" s="121">
        <v>13</v>
      </c>
      <c r="C847" s="167" t="s">
        <v>70</v>
      </c>
      <c r="D847" s="168" t="s">
        <v>770</v>
      </c>
      <c r="E847" s="168" t="s">
        <v>770</v>
      </c>
      <c r="F847" s="169" t="s">
        <v>770</v>
      </c>
      <c r="G847" s="122" t="s">
        <v>770</v>
      </c>
      <c r="H847" s="170">
        <v>14400000</v>
      </c>
      <c r="I847" s="168" t="s">
        <v>1200</v>
      </c>
      <c r="J847" s="168" t="s">
        <v>770</v>
      </c>
    </row>
    <row r="848" spans="2:10" ht="12" x14ac:dyDescent="0.15">
      <c r="B848" s="121">
        <v>13</v>
      </c>
      <c r="C848" s="167" t="s">
        <v>70</v>
      </c>
      <c r="D848" s="168" t="s">
        <v>1347</v>
      </c>
      <c r="E848" s="168" t="s">
        <v>770</v>
      </c>
      <c r="F848" s="169" t="s">
        <v>770</v>
      </c>
      <c r="G848" s="122" t="s">
        <v>770</v>
      </c>
      <c r="H848" s="170">
        <v>8820000</v>
      </c>
      <c r="I848" s="168" t="s">
        <v>1200</v>
      </c>
      <c r="J848" s="168" t="s">
        <v>770</v>
      </c>
    </row>
    <row r="849" spans="2:10" ht="12" x14ac:dyDescent="0.15">
      <c r="B849" s="121">
        <v>13</v>
      </c>
      <c r="C849" s="167" t="s">
        <v>70</v>
      </c>
      <c r="D849" s="168" t="s">
        <v>770</v>
      </c>
      <c r="E849" s="168" t="s">
        <v>770</v>
      </c>
      <c r="F849" s="169" t="s">
        <v>770</v>
      </c>
      <c r="G849" s="122" t="s">
        <v>770</v>
      </c>
      <c r="H849" s="170">
        <v>13868400</v>
      </c>
      <c r="I849" s="168" t="s">
        <v>1200</v>
      </c>
      <c r="J849" s="168" t="s">
        <v>770</v>
      </c>
    </row>
    <row r="850" spans="2:10" ht="12" x14ac:dyDescent="0.15">
      <c r="B850" s="121">
        <v>13</v>
      </c>
      <c r="C850" s="167" t="s">
        <v>70</v>
      </c>
      <c r="D850" s="168" t="s">
        <v>770</v>
      </c>
      <c r="E850" s="168" t="s">
        <v>770</v>
      </c>
      <c r="F850" s="169" t="s">
        <v>770</v>
      </c>
      <c r="G850" s="122" t="s">
        <v>770</v>
      </c>
      <c r="H850" s="170">
        <v>3780000</v>
      </c>
      <c r="I850" s="168" t="s">
        <v>1200</v>
      </c>
      <c r="J850" s="168" t="s">
        <v>770</v>
      </c>
    </row>
    <row r="851" spans="2:10" ht="12" x14ac:dyDescent="0.15">
      <c r="B851" s="121">
        <v>13</v>
      </c>
      <c r="C851" s="167" t="s">
        <v>70</v>
      </c>
      <c r="D851" s="168" t="s">
        <v>770</v>
      </c>
      <c r="E851" s="168" t="s">
        <v>770</v>
      </c>
      <c r="F851" s="169" t="s">
        <v>770</v>
      </c>
      <c r="G851" s="122" t="s">
        <v>770</v>
      </c>
      <c r="H851" s="170">
        <v>330200</v>
      </c>
      <c r="I851" s="168" t="s">
        <v>1200</v>
      </c>
      <c r="J851" s="168" t="s">
        <v>770</v>
      </c>
    </row>
    <row r="852" spans="2:10" ht="12" x14ac:dyDescent="0.15">
      <c r="B852" s="121">
        <v>13</v>
      </c>
      <c r="C852" s="167" t="s">
        <v>70</v>
      </c>
      <c r="D852" s="168" t="s">
        <v>770</v>
      </c>
      <c r="E852" s="168" t="s">
        <v>770</v>
      </c>
      <c r="F852" s="169" t="s">
        <v>770</v>
      </c>
      <c r="G852" s="122" t="s">
        <v>770</v>
      </c>
      <c r="H852" s="170">
        <v>-13868400</v>
      </c>
      <c r="I852" s="168" t="s">
        <v>1200</v>
      </c>
      <c r="J852" s="168" t="s">
        <v>770</v>
      </c>
    </row>
    <row r="853" spans="2:10" ht="12" x14ac:dyDescent="0.15">
      <c r="B853" s="121">
        <v>13</v>
      </c>
      <c r="C853" s="167" t="s">
        <v>70</v>
      </c>
      <c r="D853" s="168" t="s">
        <v>770</v>
      </c>
      <c r="E853" s="168" t="s">
        <v>770</v>
      </c>
      <c r="F853" s="169" t="s">
        <v>770</v>
      </c>
      <c r="G853" s="122" t="s">
        <v>770</v>
      </c>
      <c r="H853" s="170">
        <v>-330200</v>
      </c>
      <c r="I853" s="168" t="s">
        <v>1200</v>
      </c>
      <c r="J853" s="168" t="s">
        <v>770</v>
      </c>
    </row>
    <row r="854" spans="2:10" ht="12" x14ac:dyDescent="0.15">
      <c r="B854" s="121">
        <v>13</v>
      </c>
      <c r="C854" s="167" t="s">
        <v>70</v>
      </c>
      <c r="D854" s="168" t="s">
        <v>770</v>
      </c>
      <c r="E854" s="168" t="s">
        <v>770</v>
      </c>
      <c r="F854" s="169" t="s">
        <v>770</v>
      </c>
      <c r="G854" s="122" t="s">
        <v>770</v>
      </c>
      <c r="H854" s="170">
        <v>40000000</v>
      </c>
      <c r="I854" s="168" t="s">
        <v>1200</v>
      </c>
      <c r="J854" s="168" t="s">
        <v>770</v>
      </c>
    </row>
    <row r="855" spans="2:10" ht="12" x14ac:dyDescent="0.15">
      <c r="B855" s="121">
        <v>13</v>
      </c>
      <c r="C855" s="167" t="s">
        <v>70</v>
      </c>
      <c r="D855" s="168" t="s">
        <v>770</v>
      </c>
      <c r="E855" s="168" t="s">
        <v>770</v>
      </c>
      <c r="F855" s="169" t="s">
        <v>770</v>
      </c>
      <c r="G855" s="122" t="s">
        <v>770</v>
      </c>
      <c r="H855" s="170">
        <v>5400000</v>
      </c>
      <c r="I855" s="168" t="s">
        <v>1200</v>
      </c>
      <c r="J855" s="168" t="s">
        <v>770</v>
      </c>
    </row>
    <row r="856" spans="2:10" ht="12" x14ac:dyDescent="0.15">
      <c r="B856" s="121">
        <v>13</v>
      </c>
      <c r="C856" s="167" t="s">
        <v>70</v>
      </c>
      <c r="D856" s="168" t="s">
        <v>770</v>
      </c>
      <c r="E856" s="168" t="s">
        <v>770</v>
      </c>
      <c r="F856" s="169" t="s">
        <v>770</v>
      </c>
      <c r="G856" s="122" t="s">
        <v>770</v>
      </c>
      <c r="H856" s="170">
        <v>37050000</v>
      </c>
      <c r="I856" s="168" t="s">
        <v>1200</v>
      </c>
      <c r="J856" s="168" t="s">
        <v>770</v>
      </c>
    </row>
    <row r="857" spans="2:10" ht="12" x14ac:dyDescent="0.15">
      <c r="B857" s="121">
        <v>13</v>
      </c>
      <c r="C857" s="167" t="s">
        <v>70</v>
      </c>
      <c r="D857" s="168" t="s">
        <v>770</v>
      </c>
      <c r="E857" s="168" t="s">
        <v>770</v>
      </c>
      <c r="F857" s="169" t="s">
        <v>770</v>
      </c>
      <c r="G857" s="122" t="s">
        <v>770</v>
      </c>
      <c r="H857" s="170">
        <v>47200000</v>
      </c>
      <c r="I857" s="168" t="s">
        <v>1200</v>
      </c>
      <c r="J857" s="168" t="s">
        <v>770</v>
      </c>
    </row>
    <row r="858" spans="2:10" ht="12" x14ac:dyDescent="0.15">
      <c r="B858" s="121">
        <v>13</v>
      </c>
      <c r="C858" s="167" t="s">
        <v>70</v>
      </c>
      <c r="D858" s="168" t="s">
        <v>770</v>
      </c>
      <c r="E858" s="168" t="s">
        <v>770</v>
      </c>
      <c r="F858" s="169" t="s">
        <v>770</v>
      </c>
      <c r="G858" s="122" t="s">
        <v>770</v>
      </c>
      <c r="H858" s="170">
        <v>6480000</v>
      </c>
      <c r="I858" s="168" t="s">
        <v>1200</v>
      </c>
      <c r="J858" s="168" t="s">
        <v>770</v>
      </c>
    </row>
    <row r="859" spans="2:10" ht="12" x14ac:dyDescent="0.15">
      <c r="B859" s="121">
        <v>13</v>
      </c>
      <c r="C859" s="167" t="s">
        <v>70</v>
      </c>
      <c r="D859" s="168" t="s">
        <v>770</v>
      </c>
      <c r="E859" s="168" t="s">
        <v>770</v>
      </c>
      <c r="F859" s="169" t="s">
        <v>770</v>
      </c>
      <c r="G859" s="122" t="s">
        <v>770</v>
      </c>
      <c r="H859" s="170">
        <v>400000000</v>
      </c>
      <c r="I859" s="168" t="s">
        <v>1200</v>
      </c>
      <c r="J859" s="168" t="s">
        <v>770</v>
      </c>
    </row>
    <row r="860" spans="2:10" ht="12" x14ac:dyDescent="0.15">
      <c r="B860" s="121">
        <v>13</v>
      </c>
      <c r="C860" s="167" t="s">
        <v>70</v>
      </c>
      <c r="D860" s="168" t="s">
        <v>770</v>
      </c>
      <c r="E860" s="168" t="s">
        <v>770</v>
      </c>
      <c r="F860" s="169" t="s">
        <v>770</v>
      </c>
      <c r="G860" s="122" t="s">
        <v>770</v>
      </c>
      <c r="H860" s="170">
        <v>345000000</v>
      </c>
      <c r="I860" s="168" t="s">
        <v>1200</v>
      </c>
      <c r="J860" s="168" t="s">
        <v>770</v>
      </c>
    </row>
    <row r="861" spans="2:10" ht="12" x14ac:dyDescent="0.15">
      <c r="B861" s="121">
        <v>13</v>
      </c>
      <c r="C861" s="167" t="s">
        <v>70</v>
      </c>
      <c r="D861" s="168" t="s">
        <v>1121</v>
      </c>
      <c r="E861" s="168" t="s">
        <v>770</v>
      </c>
      <c r="F861" s="169" t="s">
        <v>770</v>
      </c>
      <c r="G861" s="122" t="s">
        <v>770</v>
      </c>
      <c r="H861" s="170">
        <v>-40000000</v>
      </c>
      <c r="I861" s="168" t="s">
        <v>1200</v>
      </c>
      <c r="J861" s="168" t="s">
        <v>770</v>
      </c>
    </row>
    <row r="862" spans="2:10" ht="12" x14ac:dyDescent="0.15">
      <c r="B862" s="121">
        <v>13</v>
      </c>
      <c r="C862" s="167" t="s">
        <v>70</v>
      </c>
      <c r="D862" s="168" t="s">
        <v>1121</v>
      </c>
      <c r="E862" s="168" t="s">
        <v>770</v>
      </c>
      <c r="F862" s="169" t="s">
        <v>770</v>
      </c>
      <c r="G862" s="122" t="s">
        <v>770</v>
      </c>
      <c r="H862" s="170">
        <v>-5400000</v>
      </c>
      <c r="I862" s="168" t="s">
        <v>1200</v>
      </c>
      <c r="J862" s="168" t="s">
        <v>770</v>
      </c>
    </row>
    <row r="863" spans="2:10" ht="12" x14ac:dyDescent="0.15">
      <c r="B863" s="121">
        <v>13</v>
      </c>
      <c r="C863" s="167" t="s">
        <v>70</v>
      </c>
      <c r="D863" s="168" t="s">
        <v>1121</v>
      </c>
      <c r="E863" s="168" t="s">
        <v>770</v>
      </c>
      <c r="F863" s="169" t="s">
        <v>770</v>
      </c>
      <c r="G863" s="122" t="s">
        <v>770</v>
      </c>
      <c r="H863" s="170">
        <v>-37050000</v>
      </c>
      <c r="I863" s="168" t="s">
        <v>1200</v>
      </c>
      <c r="J863" s="168" t="s">
        <v>770</v>
      </c>
    </row>
    <row r="864" spans="2:10" ht="12" x14ac:dyDescent="0.15">
      <c r="B864" s="121">
        <v>13</v>
      </c>
      <c r="C864" s="167" t="s">
        <v>70</v>
      </c>
      <c r="D864" s="168" t="s">
        <v>1121</v>
      </c>
      <c r="E864" s="168" t="s">
        <v>770</v>
      </c>
      <c r="F864" s="169" t="s">
        <v>770</v>
      </c>
      <c r="G864" s="122" t="s">
        <v>770</v>
      </c>
      <c r="H864" s="170">
        <v>-47200000</v>
      </c>
      <c r="I864" s="168" t="s">
        <v>1200</v>
      </c>
      <c r="J864" s="168" t="s">
        <v>770</v>
      </c>
    </row>
    <row r="865" spans="2:10" ht="12" x14ac:dyDescent="0.15">
      <c r="B865" s="121">
        <v>13</v>
      </c>
      <c r="C865" s="167" t="s">
        <v>70</v>
      </c>
      <c r="D865" s="168" t="s">
        <v>1121</v>
      </c>
      <c r="E865" s="168" t="s">
        <v>770</v>
      </c>
      <c r="F865" s="169" t="s">
        <v>770</v>
      </c>
      <c r="G865" s="122" t="s">
        <v>770</v>
      </c>
      <c r="H865" s="170">
        <v>-6480000</v>
      </c>
      <c r="I865" s="168" t="s">
        <v>1200</v>
      </c>
      <c r="J865" s="168" t="s">
        <v>770</v>
      </c>
    </row>
    <row r="866" spans="2:10" ht="12" x14ac:dyDescent="0.15">
      <c r="B866" s="121">
        <v>13</v>
      </c>
      <c r="C866" s="167" t="s">
        <v>70</v>
      </c>
      <c r="D866" s="168" t="s">
        <v>1121</v>
      </c>
      <c r="E866" s="168" t="s">
        <v>770</v>
      </c>
      <c r="F866" s="169" t="s">
        <v>770</v>
      </c>
      <c r="G866" s="122" t="s">
        <v>770</v>
      </c>
      <c r="H866" s="170">
        <v>-400000000</v>
      </c>
      <c r="I866" s="168" t="s">
        <v>1200</v>
      </c>
      <c r="J866" s="168" t="s">
        <v>770</v>
      </c>
    </row>
    <row r="867" spans="2:10" ht="12" x14ac:dyDescent="0.15">
      <c r="B867" s="121">
        <v>13</v>
      </c>
      <c r="C867" s="167" t="s">
        <v>70</v>
      </c>
      <c r="D867" s="168" t="s">
        <v>1121</v>
      </c>
      <c r="E867" s="168" t="s">
        <v>770</v>
      </c>
      <c r="F867" s="169" t="s">
        <v>770</v>
      </c>
      <c r="G867" s="122" t="s">
        <v>770</v>
      </c>
      <c r="H867" s="170">
        <v>-345000000</v>
      </c>
      <c r="I867" s="168" t="s">
        <v>1200</v>
      </c>
      <c r="J867" s="168" t="s">
        <v>770</v>
      </c>
    </row>
    <row r="868" spans="2:10" ht="12" x14ac:dyDescent="0.15">
      <c r="B868" s="121">
        <v>13</v>
      </c>
      <c r="C868" s="167" t="s">
        <v>70</v>
      </c>
      <c r="D868" s="168" t="s">
        <v>1249</v>
      </c>
      <c r="E868" s="168" t="s">
        <v>770</v>
      </c>
      <c r="F868" s="169" t="s">
        <v>770</v>
      </c>
      <c r="G868" s="122" t="s">
        <v>770</v>
      </c>
      <c r="H868" s="170">
        <v>6083331</v>
      </c>
      <c r="I868" s="168" t="s">
        <v>1200</v>
      </c>
      <c r="J868" s="168" t="s">
        <v>770</v>
      </c>
    </row>
    <row r="869" spans="2:10" ht="12" x14ac:dyDescent="0.15">
      <c r="B869" s="121">
        <v>13</v>
      </c>
      <c r="C869" s="167" t="s">
        <v>70</v>
      </c>
      <c r="D869" s="168" t="s">
        <v>1348</v>
      </c>
      <c r="E869" s="168" t="s">
        <v>770</v>
      </c>
      <c r="F869" s="169" t="s">
        <v>770</v>
      </c>
      <c r="G869" s="122" t="s">
        <v>770</v>
      </c>
      <c r="H869" s="170">
        <v>-11340000</v>
      </c>
      <c r="I869" s="168" t="s">
        <v>1200</v>
      </c>
      <c r="J869" s="168" t="s">
        <v>770</v>
      </c>
    </row>
    <row r="870" spans="2:10" ht="12" x14ac:dyDescent="0.15">
      <c r="B870" s="121">
        <v>13</v>
      </c>
      <c r="C870" s="167" t="s">
        <v>70</v>
      </c>
      <c r="D870" s="168" t="s">
        <v>770</v>
      </c>
      <c r="E870" s="168" t="s">
        <v>770</v>
      </c>
      <c r="F870" s="169" t="s">
        <v>770</v>
      </c>
      <c r="G870" s="122" t="s">
        <v>770</v>
      </c>
      <c r="H870" s="170">
        <v>182580000</v>
      </c>
      <c r="I870" s="168" t="s">
        <v>1200</v>
      </c>
      <c r="J870" s="168" t="s">
        <v>770</v>
      </c>
    </row>
    <row r="871" spans="2:10" ht="12" x14ac:dyDescent="0.15">
      <c r="B871" s="121">
        <v>13</v>
      </c>
      <c r="C871" s="167" t="s">
        <v>70</v>
      </c>
      <c r="D871" s="168" t="s">
        <v>770</v>
      </c>
      <c r="E871" s="168" t="s">
        <v>770</v>
      </c>
      <c r="F871" s="169" t="s">
        <v>770</v>
      </c>
      <c r="G871" s="122" t="s">
        <v>770</v>
      </c>
      <c r="H871" s="170">
        <v>2500000</v>
      </c>
      <c r="I871" s="168" t="s">
        <v>1200</v>
      </c>
      <c r="J871" s="168" t="s">
        <v>770</v>
      </c>
    </row>
    <row r="872" spans="2:10" ht="12" x14ac:dyDescent="0.15">
      <c r="B872" s="121">
        <v>13</v>
      </c>
      <c r="C872" s="167" t="s">
        <v>70</v>
      </c>
      <c r="D872" s="168" t="s">
        <v>1131</v>
      </c>
      <c r="E872" s="168" t="s">
        <v>770</v>
      </c>
      <c r="F872" s="169" t="s">
        <v>770</v>
      </c>
      <c r="G872" s="122" t="s">
        <v>770</v>
      </c>
      <c r="H872" s="170">
        <v>-182580000</v>
      </c>
      <c r="I872" s="168" t="s">
        <v>1200</v>
      </c>
      <c r="J872" s="168" t="s">
        <v>770</v>
      </c>
    </row>
    <row r="873" spans="2:10" ht="12" x14ac:dyDescent="0.15">
      <c r="B873" s="121">
        <v>13</v>
      </c>
      <c r="C873" s="167" t="s">
        <v>70</v>
      </c>
      <c r="D873" s="168" t="s">
        <v>770</v>
      </c>
      <c r="E873" s="168" t="s">
        <v>770</v>
      </c>
      <c r="F873" s="169" t="s">
        <v>770</v>
      </c>
      <c r="G873" s="122" t="s">
        <v>770</v>
      </c>
      <c r="H873" s="170">
        <v>10800000</v>
      </c>
      <c r="I873" s="168" t="s">
        <v>1200</v>
      </c>
      <c r="J873" s="168" t="s">
        <v>770</v>
      </c>
    </row>
    <row r="874" spans="2:10" ht="12" x14ac:dyDescent="0.15">
      <c r="B874" s="121">
        <v>13</v>
      </c>
      <c r="C874" s="167" t="s">
        <v>70</v>
      </c>
      <c r="D874" s="168" t="s">
        <v>770</v>
      </c>
      <c r="E874" s="168" t="s">
        <v>770</v>
      </c>
      <c r="F874" s="169" t="s">
        <v>770</v>
      </c>
      <c r="G874" s="122" t="s">
        <v>770</v>
      </c>
      <c r="H874" s="170">
        <v>6800000</v>
      </c>
      <c r="I874" s="168" t="s">
        <v>1200</v>
      </c>
      <c r="J874" s="168" t="s">
        <v>770</v>
      </c>
    </row>
    <row r="875" spans="2:10" ht="12" x14ac:dyDescent="0.15">
      <c r="B875" s="121">
        <v>13</v>
      </c>
      <c r="C875" s="167" t="s">
        <v>70</v>
      </c>
      <c r="D875" s="168" t="s">
        <v>770</v>
      </c>
      <c r="E875" s="168" t="s">
        <v>770</v>
      </c>
      <c r="F875" s="169" t="s">
        <v>770</v>
      </c>
      <c r="G875" s="122" t="s">
        <v>770</v>
      </c>
      <c r="H875" s="170">
        <v>300000</v>
      </c>
      <c r="I875" s="168" t="s">
        <v>1200</v>
      </c>
      <c r="J875" s="168" t="s">
        <v>770</v>
      </c>
    </row>
    <row r="876" spans="2:10" ht="12" x14ac:dyDescent="0.15">
      <c r="B876" s="121">
        <v>13</v>
      </c>
      <c r="C876" s="167" t="s">
        <v>70</v>
      </c>
      <c r="D876" s="168" t="s">
        <v>770</v>
      </c>
      <c r="E876" s="168" t="s">
        <v>770</v>
      </c>
      <c r="F876" s="169" t="s">
        <v>770</v>
      </c>
      <c r="G876" s="122" t="s">
        <v>770</v>
      </c>
      <c r="H876" s="170">
        <v>300000</v>
      </c>
      <c r="I876" s="168" t="s">
        <v>1200</v>
      </c>
      <c r="J876" s="168" t="s">
        <v>770</v>
      </c>
    </row>
    <row r="877" spans="2:10" ht="12" x14ac:dyDescent="0.15">
      <c r="B877" s="121">
        <v>13</v>
      </c>
      <c r="C877" s="167" t="s">
        <v>70</v>
      </c>
      <c r="D877" s="168" t="s">
        <v>770</v>
      </c>
      <c r="E877" s="168" t="s">
        <v>770</v>
      </c>
      <c r="F877" s="169" t="s">
        <v>770</v>
      </c>
      <c r="G877" s="122" t="s">
        <v>770</v>
      </c>
      <c r="H877" s="170">
        <v>3432000</v>
      </c>
      <c r="I877" s="168" t="s">
        <v>1200</v>
      </c>
      <c r="J877" s="168" t="s">
        <v>770</v>
      </c>
    </row>
    <row r="878" spans="2:10" ht="12" x14ac:dyDescent="0.15">
      <c r="B878" s="121">
        <v>13</v>
      </c>
      <c r="C878" s="167" t="s">
        <v>70</v>
      </c>
      <c r="D878" s="168" t="s">
        <v>770</v>
      </c>
      <c r="E878" s="168" t="s">
        <v>770</v>
      </c>
      <c r="F878" s="169" t="s">
        <v>770</v>
      </c>
      <c r="G878" s="122" t="s">
        <v>770</v>
      </c>
      <c r="H878" s="170">
        <v>1080000</v>
      </c>
      <c r="I878" s="168" t="s">
        <v>1200</v>
      </c>
      <c r="J878" s="168" t="s">
        <v>770</v>
      </c>
    </row>
    <row r="879" spans="2:10" ht="12" x14ac:dyDescent="0.15">
      <c r="B879" s="121">
        <v>13</v>
      </c>
      <c r="C879" s="167" t="s">
        <v>70</v>
      </c>
      <c r="D879" s="168" t="s">
        <v>770</v>
      </c>
      <c r="E879" s="168" t="s">
        <v>770</v>
      </c>
      <c r="F879" s="169" t="s">
        <v>770</v>
      </c>
      <c r="G879" s="122" t="s">
        <v>770</v>
      </c>
      <c r="H879" s="170">
        <v>81000</v>
      </c>
      <c r="I879" s="168" t="s">
        <v>1200</v>
      </c>
      <c r="J879" s="168" t="s">
        <v>770</v>
      </c>
    </row>
    <row r="880" spans="2:10" ht="12" x14ac:dyDescent="0.15">
      <c r="B880" s="121">
        <v>13</v>
      </c>
      <c r="C880" s="167" t="s">
        <v>70</v>
      </c>
      <c r="D880" s="168" t="s">
        <v>1349</v>
      </c>
      <c r="E880" s="168" t="s">
        <v>770</v>
      </c>
      <c r="F880" s="169" t="s">
        <v>770</v>
      </c>
      <c r="G880" s="122" t="s">
        <v>770</v>
      </c>
      <c r="H880" s="170">
        <v>2500000</v>
      </c>
      <c r="I880" s="168" t="s">
        <v>1200</v>
      </c>
      <c r="J880" s="168" t="s">
        <v>770</v>
      </c>
    </row>
    <row r="881" spans="2:10" ht="12" x14ac:dyDescent="0.15">
      <c r="B881" s="121">
        <v>13</v>
      </c>
      <c r="C881" s="167" t="s">
        <v>70</v>
      </c>
      <c r="D881" s="168" t="s">
        <v>1139</v>
      </c>
      <c r="E881" s="168" t="s">
        <v>770</v>
      </c>
      <c r="F881" s="169" t="s">
        <v>770</v>
      </c>
      <c r="G881" s="122" t="s">
        <v>770</v>
      </c>
      <c r="H881" s="170">
        <v>81000000</v>
      </c>
      <c r="I881" s="168" t="s">
        <v>1200</v>
      </c>
      <c r="J881" s="168" t="s">
        <v>770</v>
      </c>
    </row>
    <row r="882" spans="2:10" ht="12" x14ac:dyDescent="0.15">
      <c r="B882" s="121">
        <v>13</v>
      </c>
      <c r="C882" s="167" t="s">
        <v>70</v>
      </c>
      <c r="D882" s="168" t="s">
        <v>1139</v>
      </c>
      <c r="E882" s="168" t="s">
        <v>770</v>
      </c>
      <c r="F882" s="169" t="s">
        <v>770</v>
      </c>
      <c r="G882" s="122" t="s">
        <v>770</v>
      </c>
      <c r="H882" s="170">
        <v>170000000</v>
      </c>
      <c r="I882" s="168" t="s">
        <v>1200</v>
      </c>
      <c r="J882" s="168" t="s">
        <v>770</v>
      </c>
    </row>
    <row r="883" spans="2:10" ht="12" x14ac:dyDescent="0.15">
      <c r="B883" s="121">
        <v>13</v>
      </c>
      <c r="C883" s="167" t="s">
        <v>70</v>
      </c>
      <c r="D883" s="168" t="s">
        <v>1137</v>
      </c>
      <c r="E883" s="168" t="s">
        <v>770</v>
      </c>
      <c r="F883" s="169" t="s">
        <v>770</v>
      </c>
      <c r="G883" s="122" t="s">
        <v>770</v>
      </c>
      <c r="H883" s="170">
        <v>-14400000</v>
      </c>
      <c r="I883" s="168" t="s">
        <v>1200</v>
      </c>
      <c r="J883" s="168" t="s">
        <v>770</v>
      </c>
    </row>
    <row r="884" spans="2:10" ht="12" x14ac:dyDescent="0.15">
      <c r="B884" s="121">
        <v>13</v>
      </c>
      <c r="C884" s="167" t="s">
        <v>70</v>
      </c>
      <c r="D884" s="168" t="s">
        <v>1138</v>
      </c>
      <c r="E884" s="168" t="s">
        <v>770</v>
      </c>
      <c r="F884" s="169" t="s">
        <v>770</v>
      </c>
      <c r="G884" s="122" t="s">
        <v>770</v>
      </c>
      <c r="H884" s="170">
        <v>-13868400</v>
      </c>
      <c r="I884" s="168" t="s">
        <v>1200</v>
      </c>
      <c r="J884" s="168" t="s">
        <v>770</v>
      </c>
    </row>
    <row r="885" spans="2:10" ht="12" x14ac:dyDescent="0.15">
      <c r="B885" s="121">
        <v>13</v>
      </c>
      <c r="C885" s="167" t="s">
        <v>70</v>
      </c>
      <c r="D885" s="168" t="s">
        <v>1138</v>
      </c>
      <c r="E885" s="168" t="s">
        <v>770</v>
      </c>
      <c r="F885" s="169" t="s">
        <v>770</v>
      </c>
      <c r="G885" s="122" t="s">
        <v>770</v>
      </c>
      <c r="H885" s="170">
        <v>-330200</v>
      </c>
      <c r="I885" s="168" t="s">
        <v>1200</v>
      </c>
      <c r="J885" s="168" t="s">
        <v>770</v>
      </c>
    </row>
    <row r="886" spans="2:10" ht="12" x14ac:dyDescent="0.15">
      <c r="B886" s="121">
        <v>13</v>
      </c>
      <c r="C886" s="167" t="s">
        <v>70</v>
      </c>
      <c r="D886" s="168" t="s">
        <v>1350</v>
      </c>
      <c r="E886" s="168" t="s">
        <v>770</v>
      </c>
      <c r="F886" s="169" t="s">
        <v>770</v>
      </c>
      <c r="G886" s="122" t="s">
        <v>770</v>
      </c>
      <c r="H886" s="170">
        <v>4177080</v>
      </c>
      <c r="I886" s="168" t="s">
        <v>1200</v>
      </c>
      <c r="J886" s="168" t="s">
        <v>770</v>
      </c>
    </row>
    <row r="887" spans="2:10" ht="12" x14ac:dyDescent="0.15">
      <c r="B887" s="121">
        <v>13</v>
      </c>
      <c r="C887" s="167" t="s">
        <v>70</v>
      </c>
      <c r="D887" s="168" t="s">
        <v>1350</v>
      </c>
      <c r="E887" s="168" t="s">
        <v>770</v>
      </c>
      <c r="F887" s="169" t="s">
        <v>770</v>
      </c>
      <c r="G887" s="122" t="s">
        <v>770</v>
      </c>
      <c r="H887" s="170">
        <v>4419045</v>
      </c>
      <c r="I887" s="168" t="s">
        <v>1200</v>
      </c>
      <c r="J887" s="168" t="s">
        <v>770</v>
      </c>
    </row>
    <row r="888" spans="2:10" ht="12" x14ac:dyDescent="0.15">
      <c r="B888" s="121">
        <v>13</v>
      </c>
      <c r="C888" s="167" t="s">
        <v>70</v>
      </c>
      <c r="D888" s="168" t="s">
        <v>1350</v>
      </c>
      <c r="E888" s="168" t="s">
        <v>770</v>
      </c>
      <c r="F888" s="169" t="s">
        <v>770</v>
      </c>
      <c r="G888" s="122" t="s">
        <v>770</v>
      </c>
      <c r="H888" s="170">
        <v>-3452</v>
      </c>
      <c r="I888" s="168" t="s">
        <v>1200</v>
      </c>
      <c r="J888" s="168" t="s">
        <v>770</v>
      </c>
    </row>
    <row r="889" spans="2:10" ht="12" x14ac:dyDescent="0.15">
      <c r="B889" s="121">
        <v>13</v>
      </c>
      <c r="C889" s="167" t="s">
        <v>70</v>
      </c>
      <c r="D889" s="168" t="s">
        <v>1350</v>
      </c>
      <c r="E889" s="168" t="s">
        <v>770</v>
      </c>
      <c r="F889" s="169" t="s">
        <v>770</v>
      </c>
      <c r="G889" s="122" t="s">
        <v>770</v>
      </c>
      <c r="H889" s="170">
        <v>-3012</v>
      </c>
      <c r="I889" s="168" t="s">
        <v>1200</v>
      </c>
      <c r="J889" s="168" t="s">
        <v>770</v>
      </c>
    </row>
    <row r="890" spans="2:10" ht="12" x14ac:dyDescent="0.15">
      <c r="B890" s="121">
        <v>13</v>
      </c>
      <c r="C890" s="167" t="s">
        <v>70</v>
      </c>
      <c r="D890" s="168" t="s">
        <v>1351</v>
      </c>
      <c r="E890" s="168" t="s">
        <v>770</v>
      </c>
      <c r="F890" s="169" t="s">
        <v>770</v>
      </c>
      <c r="G890" s="122" t="s">
        <v>770</v>
      </c>
      <c r="H890" s="170">
        <v>20000000</v>
      </c>
      <c r="I890" s="168" t="s">
        <v>1200</v>
      </c>
      <c r="J890" s="168" t="s">
        <v>770</v>
      </c>
    </row>
    <row r="891" spans="2:10" ht="12" x14ac:dyDescent="0.15">
      <c r="B891" s="121">
        <v>13</v>
      </c>
      <c r="C891" s="167" t="s">
        <v>70</v>
      </c>
      <c r="D891" s="168" t="s">
        <v>1351</v>
      </c>
      <c r="E891" s="168" t="s">
        <v>770</v>
      </c>
      <c r="F891" s="169" t="s">
        <v>770</v>
      </c>
      <c r="G891" s="122" t="s">
        <v>770</v>
      </c>
      <c r="H891" s="170">
        <v>-20000000</v>
      </c>
      <c r="I891" s="168" t="s">
        <v>1200</v>
      </c>
      <c r="J891" s="168" t="s">
        <v>770</v>
      </c>
    </row>
    <row r="892" spans="2:10" ht="12" x14ac:dyDescent="0.15">
      <c r="B892" s="121">
        <v>13</v>
      </c>
      <c r="C892" s="167" t="s">
        <v>70</v>
      </c>
      <c r="D892" s="168" t="s">
        <v>1352</v>
      </c>
      <c r="E892" s="168" t="s">
        <v>770</v>
      </c>
      <c r="F892" s="169" t="s">
        <v>770</v>
      </c>
      <c r="G892" s="122" t="s">
        <v>770</v>
      </c>
      <c r="H892" s="170">
        <v>149760000</v>
      </c>
      <c r="I892" s="168" t="s">
        <v>1200</v>
      </c>
      <c r="J892" s="168" t="s">
        <v>770</v>
      </c>
    </row>
    <row r="893" spans="2:10" ht="12" x14ac:dyDescent="0.15">
      <c r="B893" s="121">
        <v>13</v>
      </c>
      <c r="C893" s="167" t="s">
        <v>70</v>
      </c>
      <c r="D893" s="168" t="s">
        <v>1353</v>
      </c>
      <c r="E893" s="168" t="s">
        <v>770</v>
      </c>
      <c r="F893" s="169" t="s">
        <v>770</v>
      </c>
      <c r="G893" s="122" t="s">
        <v>770</v>
      </c>
      <c r="H893" s="170">
        <v>374400000</v>
      </c>
      <c r="I893" s="168" t="s">
        <v>1200</v>
      </c>
      <c r="J893" s="168" t="s">
        <v>770</v>
      </c>
    </row>
    <row r="894" spans="2:10" ht="12" x14ac:dyDescent="0.15">
      <c r="B894" s="121">
        <v>13</v>
      </c>
      <c r="C894" s="167" t="s">
        <v>70</v>
      </c>
      <c r="D894" s="168" t="s">
        <v>770</v>
      </c>
      <c r="E894" s="168" t="s">
        <v>770</v>
      </c>
      <c r="F894" s="169" t="s">
        <v>770</v>
      </c>
      <c r="G894" s="122" t="s">
        <v>770</v>
      </c>
      <c r="H894" s="170">
        <v>-14400000</v>
      </c>
      <c r="I894" s="168" t="s">
        <v>1200</v>
      </c>
      <c r="J894" s="168" t="s">
        <v>770</v>
      </c>
    </row>
    <row r="895" spans="2:10" ht="12" x14ac:dyDescent="0.15">
      <c r="B895" s="121">
        <v>13</v>
      </c>
      <c r="C895" s="167" t="s">
        <v>70</v>
      </c>
      <c r="D895" s="168" t="s">
        <v>770</v>
      </c>
      <c r="E895" s="168" t="s">
        <v>770</v>
      </c>
      <c r="F895" s="169" t="s">
        <v>770</v>
      </c>
      <c r="G895" s="122" t="s">
        <v>770</v>
      </c>
      <c r="H895" s="170">
        <v>240000</v>
      </c>
      <c r="I895" s="168" t="s">
        <v>1200</v>
      </c>
      <c r="J895" s="168" t="s">
        <v>770</v>
      </c>
    </row>
    <row r="896" spans="2:10" ht="12" x14ac:dyDescent="0.15">
      <c r="B896" s="121">
        <v>13</v>
      </c>
      <c r="C896" s="167" t="s">
        <v>70</v>
      </c>
      <c r="D896" s="168" t="s">
        <v>1354</v>
      </c>
      <c r="E896" s="168" t="s">
        <v>770</v>
      </c>
      <c r="F896" s="169" t="s">
        <v>770</v>
      </c>
      <c r="G896" s="122" t="s">
        <v>770</v>
      </c>
      <c r="H896" s="170">
        <v>-20000000</v>
      </c>
      <c r="I896" s="168" t="s">
        <v>1200</v>
      </c>
      <c r="J896" s="168" t="s">
        <v>770</v>
      </c>
    </row>
    <row r="897" spans="2:10" ht="12" x14ac:dyDescent="0.15">
      <c r="B897" s="121">
        <v>13</v>
      </c>
      <c r="C897" s="167" t="s">
        <v>70</v>
      </c>
      <c r="D897" s="168" t="s">
        <v>1355</v>
      </c>
      <c r="E897" s="168" t="s">
        <v>770</v>
      </c>
      <c r="F897" s="169" t="s">
        <v>770</v>
      </c>
      <c r="G897" s="122" t="s">
        <v>770</v>
      </c>
      <c r="H897" s="170">
        <v>407160000</v>
      </c>
      <c r="I897" s="168" t="s">
        <v>1200</v>
      </c>
      <c r="J897" s="168" t="s">
        <v>770</v>
      </c>
    </row>
    <row r="898" spans="2:10" ht="12" x14ac:dyDescent="0.15">
      <c r="B898" s="121">
        <v>13</v>
      </c>
      <c r="C898" s="167" t="s">
        <v>70</v>
      </c>
      <c r="D898" s="168" t="s">
        <v>770</v>
      </c>
      <c r="E898" s="168" t="s">
        <v>770</v>
      </c>
      <c r="F898" s="169" t="s">
        <v>770</v>
      </c>
      <c r="G898" s="122" t="s">
        <v>770</v>
      </c>
      <c r="H898" s="170">
        <v>-2160000</v>
      </c>
      <c r="I898" s="168" t="s">
        <v>1200</v>
      </c>
      <c r="J898" s="168" t="s">
        <v>770</v>
      </c>
    </row>
    <row r="899" spans="2:10" ht="12" x14ac:dyDescent="0.15">
      <c r="B899" s="121">
        <v>13</v>
      </c>
      <c r="C899" s="167" t="s">
        <v>70</v>
      </c>
      <c r="D899" s="168" t="s">
        <v>1356</v>
      </c>
      <c r="E899" s="168" t="s">
        <v>770</v>
      </c>
      <c r="F899" s="169" t="s">
        <v>770</v>
      </c>
      <c r="G899" s="122" t="s">
        <v>770</v>
      </c>
      <c r="H899" s="170">
        <v>390000000</v>
      </c>
      <c r="I899" s="168" t="s">
        <v>1200</v>
      </c>
      <c r="J899" s="168" t="s">
        <v>770</v>
      </c>
    </row>
    <row r="900" spans="2:10" ht="12" x14ac:dyDescent="0.15">
      <c r="B900" s="121">
        <v>13</v>
      </c>
      <c r="C900" s="167" t="s">
        <v>70</v>
      </c>
      <c r="D900" s="168" t="s">
        <v>1357</v>
      </c>
      <c r="E900" s="168" t="s">
        <v>770</v>
      </c>
      <c r="F900" s="169" t="s">
        <v>770</v>
      </c>
      <c r="G900" s="122" t="s">
        <v>770</v>
      </c>
      <c r="H900" s="170">
        <v>390780000</v>
      </c>
      <c r="I900" s="168" t="s">
        <v>1200</v>
      </c>
      <c r="J900" s="168" t="s">
        <v>770</v>
      </c>
    </row>
    <row r="901" spans="2:10" ht="12" x14ac:dyDescent="0.15">
      <c r="B901" s="121">
        <v>13</v>
      </c>
      <c r="C901" s="167" t="s">
        <v>70</v>
      </c>
      <c r="D901" s="168" t="s">
        <v>770</v>
      </c>
      <c r="E901" s="168" t="s">
        <v>770</v>
      </c>
      <c r="F901" s="169" t="s">
        <v>770</v>
      </c>
      <c r="G901" s="122" t="s">
        <v>770</v>
      </c>
      <c r="H901" s="170">
        <v>-780000</v>
      </c>
      <c r="I901" s="168" t="s">
        <v>1200</v>
      </c>
      <c r="J901" s="168" t="s">
        <v>770</v>
      </c>
    </row>
    <row r="902" spans="2:10" ht="12" x14ac:dyDescent="0.15">
      <c r="B902" s="121">
        <v>13</v>
      </c>
      <c r="C902" s="167" t="s">
        <v>70</v>
      </c>
      <c r="D902" s="168" t="s">
        <v>1358</v>
      </c>
      <c r="E902" s="168" t="s">
        <v>770</v>
      </c>
      <c r="F902" s="169" t="s">
        <v>770</v>
      </c>
      <c r="G902" s="122" t="s">
        <v>770</v>
      </c>
      <c r="H902" s="170">
        <v>390000000</v>
      </c>
      <c r="I902" s="168" t="s">
        <v>1200</v>
      </c>
      <c r="J902" s="168" t="s">
        <v>770</v>
      </c>
    </row>
    <row r="903" spans="2:10" ht="12" x14ac:dyDescent="0.15">
      <c r="B903" s="121">
        <v>13</v>
      </c>
      <c r="C903" s="167" t="s">
        <v>70</v>
      </c>
      <c r="D903" s="168" t="s">
        <v>1359</v>
      </c>
      <c r="E903" s="168" t="s">
        <v>770</v>
      </c>
      <c r="F903" s="169" t="s">
        <v>770</v>
      </c>
      <c r="G903" s="122" t="s">
        <v>770</v>
      </c>
      <c r="H903" s="170">
        <v>-390000000</v>
      </c>
      <c r="I903" s="168" t="s">
        <v>1200</v>
      </c>
      <c r="J903" s="168" t="s">
        <v>770</v>
      </c>
    </row>
    <row r="904" spans="2:10" ht="12" x14ac:dyDescent="0.15">
      <c r="B904" s="121">
        <v>13</v>
      </c>
      <c r="C904" s="167" t="s">
        <v>70</v>
      </c>
      <c r="D904" s="168" t="s">
        <v>1360</v>
      </c>
      <c r="E904" s="168" t="s">
        <v>770</v>
      </c>
      <c r="F904" s="169" t="s">
        <v>770</v>
      </c>
      <c r="G904" s="122" t="s">
        <v>770</v>
      </c>
      <c r="H904" s="170">
        <v>390780000</v>
      </c>
      <c r="I904" s="168" t="s">
        <v>1200</v>
      </c>
      <c r="J904" s="168" t="s">
        <v>770</v>
      </c>
    </row>
    <row r="905" spans="2:10" ht="12" x14ac:dyDescent="0.15">
      <c r="B905" s="121">
        <v>13</v>
      </c>
      <c r="C905" s="167" t="s">
        <v>70</v>
      </c>
      <c r="D905" s="168" t="s">
        <v>1360</v>
      </c>
      <c r="E905" s="168" t="s">
        <v>770</v>
      </c>
      <c r="F905" s="169" t="s">
        <v>770</v>
      </c>
      <c r="G905" s="122" t="s">
        <v>770</v>
      </c>
      <c r="H905" s="170">
        <v>-390780000</v>
      </c>
      <c r="I905" s="168" t="s">
        <v>1200</v>
      </c>
      <c r="J905" s="168" t="s">
        <v>770</v>
      </c>
    </row>
    <row r="906" spans="2:10" ht="12" x14ac:dyDescent="0.15">
      <c r="B906" s="121">
        <v>13</v>
      </c>
      <c r="C906" s="167" t="s">
        <v>70</v>
      </c>
      <c r="D906" s="168" t="s">
        <v>1360</v>
      </c>
      <c r="E906" s="168" t="s">
        <v>770</v>
      </c>
      <c r="F906" s="169" t="s">
        <v>770</v>
      </c>
      <c r="G906" s="122" t="s">
        <v>770</v>
      </c>
      <c r="H906" s="170">
        <v>390780000</v>
      </c>
      <c r="I906" s="168" t="s">
        <v>1200</v>
      </c>
      <c r="J906" s="168" t="s">
        <v>770</v>
      </c>
    </row>
    <row r="907" spans="2:10" ht="12" x14ac:dyDescent="0.15">
      <c r="B907" s="121">
        <v>13</v>
      </c>
      <c r="C907" s="167" t="s">
        <v>70</v>
      </c>
      <c r="D907" s="168" t="s">
        <v>1360</v>
      </c>
      <c r="E907" s="168" t="s">
        <v>770</v>
      </c>
      <c r="F907" s="169" t="s">
        <v>770</v>
      </c>
      <c r="G907" s="122" t="s">
        <v>770</v>
      </c>
      <c r="H907" s="170">
        <v>-390780000</v>
      </c>
      <c r="I907" s="168" t="s">
        <v>1200</v>
      </c>
      <c r="J907" s="168" t="s">
        <v>770</v>
      </c>
    </row>
    <row r="908" spans="2:10" ht="12" x14ac:dyDescent="0.15">
      <c r="B908" s="121">
        <v>13</v>
      </c>
      <c r="C908" s="167" t="s">
        <v>70</v>
      </c>
      <c r="D908" s="168" t="s">
        <v>1361</v>
      </c>
      <c r="E908" s="168" t="s">
        <v>770</v>
      </c>
      <c r="F908" s="169" t="s">
        <v>770</v>
      </c>
      <c r="G908" s="122" t="s">
        <v>770</v>
      </c>
      <c r="H908" s="170">
        <v>20000000</v>
      </c>
      <c r="I908" s="168" t="s">
        <v>1200</v>
      </c>
      <c r="J908" s="168" t="s">
        <v>770</v>
      </c>
    </row>
    <row r="909" spans="2:10" ht="12" x14ac:dyDescent="0.15">
      <c r="B909" s="121">
        <v>13</v>
      </c>
      <c r="C909" s="167" t="s">
        <v>70</v>
      </c>
      <c r="D909" s="168" t="s">
        <v>1362</v>
      </c>
      <c r="E909" s="168" t="s">
        <v>770</v>
      </c>
      <c r="F909" s="169" t="s">
        <v>770</v>
      </c>
      <c r="G909" s="122" t="s">
        <v>770</v>
      </c>
      <c r="H909" s="170">
        <v>372060000</v>
      </c>
      <c r="I909" s="168" t="s">
        <v>1200</v>
      </c>
      <c r="J909" s="168" t="s">
        <v>770</v>
      </c>
    </row>
    <row r="910" spans="2:10" ht="12" x14ac:dyDescent="0.15">
      <c r="B910" s="121">
        <v>13</v>
      </c>
      <c r="C910" s="167" t="s">
        <v>70</v>
      </c>
      <c r="D910" s="168" t="s">
        <v>1361</v>
      </c>
      <c r="E910" s="168" t="s">
        <v>770</v>
      </c>
      <c r="F910" s="169" t="s">
        <v>770</v>
      </c>
      <c r="G910" s="122" t="s">
        <v>770</v>
      </c>
      <c r="H910" s="170">
        <v>-20000000</v>
      </c>
      <c r="I910" s="168" t="s">
        <v>1200</v>
      </c>
      <c r="J910" s="168" t="s">
        <v>770</v>
      </c>
    </row>
    <row r="911" spans="2:10" ht="12" x14ac:dyDescent="0.15">
      <c r="B911" s="121">
        <v>13</v>
      </c>
      <c r="C911" s="167" t="s">
        <v>70</v>
      </c>
      <c r="D911" s="168" t="s">
        <v>1361</v>
      </c>
      <c r="E911" s="168" t="s">
        <v>770</v>
      </c>
      <c r="F911" s="169" t="s">
        <v>770</v>
      </c>
      <c r="G911" s="122" t="s">
        <v>770</v>
      </c>
      <c r="H911" s="170">
        <v>-20000000</v>
      </c>
      <c r="I911" s="168" t="s">
        <v>1200</v>
      </c>
      <c r="J911" s="168" t="s">
        <v>770</v>
      </c>
    </row>
    <row r="912" spans="2:10" ht="12" x14ac:dyDescent="0.15">
      <c r="B912" s="121">
        <v>13</v>
      </c>
      <c r="C912" s="167" t="s">
        <v>70</v>
      </c>
      <c r="D912" s="168" t="s">
        <v>1361</v>
      </c>
      <c r="E912" s="168" t="s">
        <v>770</v>
      </c>
      <c r="F912" s="169" t="s">
        <v>770</v>
      </c>
      <c r="G912" s="122" t="s">
        <v>770</v>
      </c>
      <c r="H912" s="170">
        <v>-20000000</v>
      </c>
      <c r="I912" s="168" t="s">
        <v>1200</v>
      </c>
      <c r="J912" s="168" t="s">
        <v>770</v>
      </c>
    </row>
    <row r="913" spans="2:10" ht="12" x14ac:dyDescent="0.15">
      <c r="B913" s="121">
        <v>13</v>
      </c>
      <c r="C913" s="167" t="s">
        <v>70</v>
      </c>
      <c r="D913" s="168" t="s">
        <v>1363</v>
      </c>
      <c r="E913" s="168" t="s">
        <v>770</v>
      </c>
      <c r="F913" s="169" t="s">
        <v>770</v>
      </c>
      <c r="G913" s="122" t="s">
        <v>770</v>
      </c>
      <c r="H913" s="170">
        <v>-390000000</v>
      </c>
      <c r="I913" s="168" t="s">
        <v>1200</v>
      </c>
      <c r="J913" s="168" t="s">
        <v>770</v>
      </c>
    </row>
    <row r="914" spans="2:10" ht="12" x14ac:dyDescent="0.15">
      <c r="B914" s="121">
        <v>13</v>
      </c>
      <c r="C914" s="167" t="s">
        <v>70</v>
      </c>
      <c r="D914" s="168" t="s">
        <v>1362</v>
      </c>
      <c r="E914" s="168" t="s">
        <v>770</v>
      </c>
      <c r="F914" s="169" t="s">
        <v>770</v>
      </c>
      <c r="G914" s="122" t="s">
        <v>770</v>
      </c>
      <c r="H914" s="170">
        <v>-372060000</v>
      </c>
      <c r="I914" s="168" t="s">
        <v>1200</v>
      </c>
      <c r="J914" s="168" t="s">
        <v>770</v>
      </c>
    </row>
    <row r="915" spans="2:10" ht="12" x14ac:dyDescent="0.15">
      <c r="B915" s="121">
        <v>13</v>
      </c>
      <c r="C915" s="167" t="s">
        <v>70</v>
      </c>
      <c r="D915" s="168" t="s">
        <v>1364</v>
      </c>
      <c r="E915" s="168" t="s">
        <v>770</v>
      </c>
      <c r="F915" s="169" t="s">
        <v>770</v>
      </c>
      <c r="G915" s="122" t="s">
        <v>770</v>
      </c>
      <c r="H915" s="170">
        <v>374400000</v>
      </c>
      <c r="I915" s="168" t="s">
        <v>1200</v>
      </c>
      <c r="J915" s="168" t="s">
        <v>770</v>
      </c>
    </row>
    <row r="916" spans="2:10" ht="12" x14ac:dyDescent="0.15">
      <c r="B916" s="121">
        <v>13</v>
      </c>
      <c r="C916" s="167" t="s">
        <v>70</v>
      </c>
      <c r="D916" s="168" t="s">
        <v>770</v>
      </c>
      <c r="E916" s="168" t="s">
        <v>770</v>
      </c>
      <c r="F916" s="169" t="s">
        <v>770</v>
      </c>
      <c r="G916" s="122" t="s">
        <v>770</v>
      </c>
      <c r="H916" s="170">
        <v>12660000</v>
      </c>
      <c r="I916" s="168" t="s">
        <v>1200</v>
      </c>
      <c r="J916" s="168" t="s">
        <v>770</v>
      </c>
    </row>
    <row r="917" spans="2:10" ht="12" x14ac:dyDescent="0.15">
      <c r="B917" s="121">
        <v>13</v>
      </c>
      <c r="C917" s="167" t="s">
        <v>70</v>
      </c>
      <c r="D917" s="168" t="s">
        <v>770</v>
      </c>
      <c r="E917" s="168" t="s">
        <v>770</v>
      </c>
      <c r="F917" s="169" t="s">
        <v>770</v>
      </c>
      <c r="G917" s="122" t="s">
        <v>770</v>
      </c>
      <c r="H917" s="170">
        <v>2160000</v>
      </c>
      <c r="I917" s="168" t="s">
        <v>1200</v>
      </c>
      <c r="J917" s="168" t="s">
        <v>770</v>
      </c>
    </row>
    <row r="918" spans="2:10" ht="12" x14ac:dyDescent="0.15">
      <c r="B918" s="121">
        <v>13</v>
      </c>
      <c r="C918" s="167" t="s">
        <v>70</v>
      </c>
      <c r="D918" s="168" t="s">
        <v>770</v>
      </c>
      <c r="E918" s="168" t="s">
        <v>770</v>
      </c>
      <c r="F918" s="169" t="s">
        <v>770</v>
      </c>
      <c r="G918" s="122" t="s">
        <v>770</v>
      </c>
      <c r="H918" s="170">
        <v>780000</v>
      </c>
      <c r="I918" s="168" t="s">
        <v>1200</v>
      </c>
      <c r="J918" s="168" t="s">
        <v>770</v>
      </c>
    </row>
    <row r="919" spans="2:10" ht="12" x14ac:dyDescent="0.15">
      <c r="B919" s="121">
        <v>13</v>
      </c>
      <c r="C919" s="167" t="s">
        <v>70</v>
      </c>
      <c r="D919" s="168" t="s">
        <v>1232</v>
      </c>
      <c r="E919" s="168" t="s">
        <v>770</v>
      </c>
      <c r="F919" s="169" t="s">
        <v>770</v>
      </c>
      <c r="G919" s="122" t="s">
        <v>770</v>
      </c>
      <c r="H919" s="170">
        <v>60000000</v>
      </c>
      <c r="I919" s="168" t="s">
        <v>1200</v>
      </c>
      <c r="J919" s="168" t="s">
        <v>770</v>
      </c>
    </row>
    <row r="920" spans="2:10" ht="12" x14ac:dyDescent="0.15">
      <c r="B920" s="121">
        <v>13</v>
      </c>
      <c r="C920" s="167" t="s">
        <v>70</v>
      </c>
      <c r="D920" s="168" t="s">
        <v>1365</v>
      </c>
      <c r="E920" s="168" t="s">
        <v>770</v>
      </c>
      <c r="F920" s="169" t="s">
        <v>770</v>
      </c>
      <c r="G920" s="122" t="s">
        <v>770</v>
      </c>
      <c r="H920" s="170">
        <v>7000000</v>
      </c>
      <c r="I920" s="168" t="s">
        <v>1200</v>
      </c>
      <c r="J920" s="168" t="s">
        <v>770</v>
      </c>
    </row>
    <row r="921" spans="2:10" ht="12" x14ac:dyDescent="0.15">
      <c r="B921" s="121">
        <v>13</v>
      </c>
      <c r="C921" s="167" t="s">
        <v>70</v>
      </c>
      <c r="D921" s="168" t="s">
        <v>1240</v>
      </c>
      <c r="E921" s="168" t="s">
        <v>770</v>
      </c>
      <c r="F921" s="169" t="s">
        <v>770</v>
      </c>
      <c r="G921" s="122" t="s">
        <v>770</v>
      </c>
      <c r="H921" s="170">
        <v>5346000</v>
      </c>
      <c r="I921" s="168" t="s">
        <v>1200</v>
      </c>
      <c r="J921" s="168" t="s">
        <v>770</v>
      </c>
    </row>
    <row r="922" spans="2:10" ht="12" x14ac:dyDescent="0.15">
      <c r="B922" s="121">
        <v>13</v>
      </c>
      <c r="C922" s="167" t="s">
        <v>70</v>
      </c>
      <c r="D922" s="168" t="s">
        <v>1366</v>
      </c>
      <c r="E922" s="168" t="s">
        <v>770</v>
      </c>
      <c r="F922" s="169" t="s">
        <v>770</v>
      </c>
      <c r="G922" s="122" t="s">
        <v>770</v>
      </c>
      <c r="H922" s="170">
        <v>2700000</v>
      </c>
      <c r="I922" s="168" t="s">
        <v>1200</v>
      </c>
      <c r="J922" s="168" t="s">
        <v>770</v>
      </c>
    </row>
    <row r="923" spans="2:10" ht="12" x14ac:dyDescent="0.15">
      <c r="B923" s="121">
        <v>13</v>
      </c>
      <c r="C923" s="167" t="s">
        <v>70</v>
      </c>
      <c r="D923" s="168" t="s">
        <v>1367</v>
      </c>
      <c r="E923" s="168" t="s">
        <v>770</v>
      </c>
      <c r="F923" s="169" t="s">
        <v>770</v>
      </c>
      <c r="G923" s="122" t="s">
        <v>770</v>
      </c>
      <c r="H923" s="170">
        <v>2700000</v>
      </c>
      <c r="I923" s="168" t="s">
        <v>1200</v>
      </c>
      <c r="J923" s="168" t="s">
        <v>770</v>
      </c>
    </row>
    <row r="924" spans="2:10" ht="12" x14ac:dyDescent="0.15">
      <c r="B924" s="121">
        <v>13</v>
      </c>
      <c r="C924" s="167" t="s">
        <v>70</v>
      </c>
      <c r="D924" s="168" t="s">
        <v>1368</v>
      </c>
      <c r="E924" s="168" t="s">
        <v>770</v>
      </c>
      <c r="F924" s="169" t="s">
        <v>770</v>
      </c>
      <c r="G924" s="122" t="s">
        <v>770</v>
      </c>
      <c r="H924" s="170">
        <v>2700000</v>
      </c>
      <c r="I924" s="168" t="s">
        <v>1200</v>
      </c>
      <c r="J924" s="168" t="s">
        <v>770</v>
      </c>
    </row>
    <row r="925" spans="2:10" ht="12" x14ac:dyDescent="0.15">
      <c r="B925" s="121">
        <v>13</v>
      </c>
      <c r="C925" s="167" t="s">
        <v>70</v>
      </c>
      <c r="D925" s="168" t="s">
        <v>1368</v>
      </c>
      <c r="E925" s="168" t="s">
        <v>770</v>
      </c>
      <c r="F925" s="169" t="s">
        <v>770</v>
      </c>
      <c r="G925" s="122" t="s">
        <v>770</v>
      </c>
      <c r="H925" s="170">
        <v>-2700000</v>
      </c>
      <c r="I925" s="168" t="s">
        <v>1200</v>
      </c>
      <c r="J925" s="168" t="s">
        <v>770</v>
      </c>
    </row>
    <row r="926" spans="2:10" ht="12" x14ac:dyDescent="0.15">
      <c r="B926" s="121">
        <v>13</v>
      </c>
      <c r="C926" s="167" t="s">
        <v>70</v>
      </c>
      <c r="D926" s="168" t="s">
        <v>1367</v>
      </c>
      <c r="E926" s="168" t="s">
        <v>770</v>
      </c>
      <c r="F926" s="169" t="s">
        <v>770</v>
      </c>
      <c r="G926" s="122" t="s">
        <v>770</v>
      </c>
      <c r="H926" s="170">
        <v>-2700000</v>
      </c>
      <c r="I926" s="168" t="s">
        <v>1200</v>
      </c>
      <c r="J926" s="168" t="s">
        <v>770</v>
      </c>
    </row>
    <row r="927" spans="2:10" ht="12" x14ac:dyDescent="0.15">
      <c r="B927" s="121">
        <v>13</v>
      </c>
      <c r="C927" s="167" t="s">
        <v>70</v>
      </c>
      <c r="D927" s="168" t="s">
        <v>1366</v>
      </c>
      <c r="E927" s="168" t="s">
        <v>770</v>
      </c>
      <c r="F927" s="169" t="s">
        <v>770</v>
      </c>
      <c r="G927" s="122" t="s">
        <v>770</v>
      </c>
      <c r="H927" s="170">
        <v>-2700000</v>
      </c>
      <c r="I927" s="168" t="s">
        <v>1200</v>
      </c>
      <c r="J927" s="168" t="s">
        <v>770</v>
      </c>
    </row>
    <row r="928" spans="2:10" ht="12" x14ac:dyDescent="0.15">
      <c r="B928" s="121">
        <v>13</v>
      </c>
      <c r="C928" s="167" t="s">
        <v>70</v>
      </c>
      <c r="D928" s="168" t="s">
        <v>1366</v>
      </c>
      <c r="E928" s="168" t="s">
        <v>770</v>
      </c>
      <c r="F928" s="169" t="s">
        <v>770</v>
      </c>
      <c r="G928" s="122" t="s">
        <v>770</v>
      </c>
      <c r="H928" s="170">
        <v>2700000</v>
      </c>
      <c r="I928" s="168" t="s">
        <v>1200</v>
      </c>
      <c r="J928" s="168" t="s">
        <v>770</v>
      </c>
    </row>
    <row r="929" spans="2:10" ht="12" x14ac:dyDescent="0.15">
      <c r="B929" s="121">
        <v>13</v>
      </c>
      <c r="C929" s="167" t="s">
        <v>70</v>
      </c>
      <c r="D929" s="168" t="s">
        <v>1367</v>
      </c>
      <c r="E929" s="168" t="s">
        <v>770</v>
      </c>
      <c r="F929" s="169" t="s">
        <v>770</v>
      </c>
      <c r="G929" s="122" t="s">
        <v>770</v>
      </c>
      <c r="H929" s="170">
        <v>2700000</v>
      </c>
      <c r="I929" s="168" t="s">
        <v>1200</v>
      </c>
      <c r="J929" s="168" t="s">
        <v>770</v>
      </c>
    </row>
    <row r="930" spans="2:10" ht="12" x14ac:dyDescent="0.15">
      <c r="B930" s="121">
        <v>13</v>
      </c>
      <c r="C930" s="167" t="s">
        <v>70</v>
      </c>
      <c r="D930" s="168" t="s">
        <v>1368</v>
      </c>
      <c r="E930" s="168" t="s">
        <v>770</v>
      </c>
      <c r="F930" s="169" t="s">
        <v>770</v>
      </c>
      <c r="G930" s="122" t="s">
        <v>770</v>
      </c>
      <c r="H930" s="170">
        <v>2700000</v>
      </c>
      <c r="I930" s="168" t="s">
        <v>1200</v>
      </c>
      <c r="J930" s="168" t="s">
        <v>770</v>
      </c>
    </row>
    <row r="931" spans="2:10" ht="12" x14ac:dyDescent="0.15">
      <c r="B931" s="121">
        <v>13</v>
      </c>
      <c r="C931" s="167" t="s">
        <v>70</v>
      </c>
      <c r="D931" s="168" t="s">
        <v>1369</v>
      </c>
      <c r="E931" s="168" t="s">
        <v>770</v>
      </c>
      <c r="F931" s="169" t="s">
        <v>770</v>
      </c>
      <c r="G931" s="122" t="s">
        <v>770</v>
      </c>
      <c r="H931" s="170">
        <v>35200000</v>
      </c>
      <c r="I931" s="168" t="s">
        <v>1200</v>
      </c>
      <c r="J931" s="168" t="s">
        <v>770</v>
      </c>
    </row>
    <row r="932" spans="2:10" ht="12" x14ac:dyDescent="0.15">
      <c r="B932" s="121">
        <v>13</v>
      </c>
      <c r="C932" s="167" t="s">
        <v>70</v>
      </c>
      <c r="D932" s="168" t="s">
        <v>1365</v>
      </c>
      <c r="E932" s="168" t="s">
        <v>770</v>
      </c>
      <c r="F932" s="169" t="s">
        <v>770</v>
      </c>
      <c r="G932" s="122" t="s">
        <v>770</v>
      </c>
      <c r="H932" s="170">
        <v>300000000</v>
      </c>
      <c r="I932" s="168" t="s">
        <v>1200</v>
      </c>
      <c r="J932" s="168" t="s">
        <v>770</v>
      </c>
    </row>
    <row r="933" spans="2:10" ht="12" x14ac:dyDescent="0.15">
      <c r="B933" s="121">
        <v>13</v>
      </c>
      <c r="C933" s="167" t="s">
        <v>70</v>
      </c>
      <c r="D933" s="168" t="s">
        <v>1369</v>
      </c>
      <c r="E933" s="168" t="s">
        <v>770</v>
      </c>
      <c r="F933" s="169" t="s">
        <v>770</v>
      </c>
      <c r="G933" s="122" t="s">
        <v>770</v>
      </c>
      <c r="H933" s="170">
        <v>35200000</v>
      </c>
      <c r="I933" s="168" t="s">
        <v>1200</v>
      </c>
      <c r="J933" s="168" t="s">
        <v>770</v>
      </c>
    </row>
    <row r="934" spans="2:10" ht="12" x14ac:dyDescent="0.15">
      <c r="B934" s="121">
        <v>13</v>
      </c>
      <c r="C934" s="167" t="s">
        <v>70</v>
      </c>
      <c r="D934" s="168" t="s">
        <v>1369</v>
      </c>
      <c r="E934" s="168" t="s">
        <v>770</v>
      </c>
      <c r="F934" s="169" t="s">
        <v>770</v>
      </c>
      <c r="G934" s="122" t="s">
        <v>770</v>
      </c>
      <c r="H934" s="170">
        <v>-35200000</v>
      </c>
      <c r="I934" s="168" t="s">
        <v>1200</v>
      </c>
      <c r="J934" s="168" t="s">
        <v>770</v>
      </c>
    </row>
    <row r="935" spans="2:10" ht="12" x14ac:dyDescent="0.15">
      <c r="B935" s="121">
        <v>13</v>
      </c>
      <c r="C935" s="167" t="s">
        <v>70</v>
      </c>
      <c r="D935" s="168" t="s">
        <v>1369</v>
      </c>
      <c r="E935" s="168" t="s">
        <v>770</v>
      </c>
      <c r="F935" s="169" t="s">
        <v>770</v>
      </c>
      <c r="G935" s="122" t="s">
        <v>770</v>
      </c>
      <c r="H935" s="170">
        <v>-35200000</v>
      </c>
      <c r="I935" s="168" t="s">
        <v>1200</v>
      </c>
      <c r="J935" s="168" t="s">
        <v>770</v>
      </c>
    </row>
    <row r="936" spans="2:10" ht="12" x14ac:dyDescent="0.15">
      <c r="B936" s="121">
        <v>13</v>
      </c>
      <c r="C936" s="167" t="s">
        <v>70</v>
      </c>
      <c r="D936" s="168" t="s">
        <v>1241</v>
      </c>
      <c r="E936" s="168" t="s">
        <v>770</v>
      </c>
      <c r="F936" s="169" t="s">
        <v>770</v>
      </c>
      <c r="G936" s="122" t="s">
        <v>770</v>
      </c>
      <c r="H936" s="170">
        <v>-5346000</v>
      </c>
      <c r="I936" s="168" t="s">
        <v>1200</v>
      </c>
      <c r="J936" s="168" t="s">
        <v>770</v>
      </c>
    </row>
    <row r="937" spans="2:10" ht="12" x14ac:dyDescent="0.15">
      <c r="B937" s="121">
        <v>13</v>
      </c>
      <c r="C937" s="167" t="s">
        <v>70</v>
      </c>
      <c r="D937" s="168" t="s">
        <v>1241</v>
      </c>
      <c r="E937" s="168" t="s">
        <v>770</v>
      </c>
      <c r="F937" s="169" t="s">
        <v>770</v>
      </c>
      <c r="G937" s="122" t="s">
        <v>770</v>
      </c>
      <c r="H937" s="170">
        <v>-5346000</v>
      </c>
      <c r="I937" s="168" t="s">
        <v>1200</v>
      </c>
      <c r="J937" s="168" t="s">
        <v>770</v>
      </c>
    </row>
    <row r="938" spans="2:10" ht="12" x14ac:dyDescent="0.15">
      <c r="B938" s="121">
        <v>13</v>
      </c>
      <c r="C938" s="167" t="s">
        <v>70</v>
      </c>
      <c r="D938" s="168" t="s">
        <v>1241</v>
      </c>
      <c r="E938" s="168" t="s">
        <v>770</v>
      </c>
      <c r="F938" s="169" t="s">
        <v>770</v>
      </c>
      <c r="G938" s="122" t="s">
        <v>770</v>
      </c>
      <c r="H938" s="170">
        <v>-5346000</v>
      </c>
      <c r="I938" s="168" t="s">
        <v>1200</v>
      </c>
      <c r="J938" s="168" t="s">
        <v>770</v>
      </c>
    </row>
    <row r="939" spans="2:10" ht="12" x14ac:dyDescent="0.15">
      <c r="B939" s="121">
        <v>13</v>
      </c>
      <c r="C939" s="167" t="s">
        <v>70</v>
      </c>
      <c r="D939" s="168" t="s">
        <v>1240</v>
      </c>
      <c r="E939" s="168" t="s">
        <v>770</v>
      </c>
      <c r="F939" s="169" t="s">
        <v>770</v>
      </c>
      <c r="G939" s="122" t="s">
        <v>770</v>
      </c>
      <c r="H939" s="170">
        <v>-5346000</v>
      </c>
      <c r="I939" s="168" t="s">
        <v>1200</v>
      </c>
      <c r="J939" s="168" t="s">
        <v>770</v>
      </c>
    </row>
    <row r="940" spans="2:10" ht="12" x14ac:dyDescent="0.15">
      <c r="B940" s="121">
        <v>13</v>
      </c>
      <c r="C940" s="167" t="s">
        <v>70</v>
      </c>
      <c r="D940" s="168" t="s">
        <v>1366</v>
      </c>
      <c r="E940" s="168" t="s">
        <v>770</v>
      </c>
      <c r="F940" s="169" t="s">
        <v>770</v>
      </c>
      <c r="G940" s="122" t="s">
        <v>770</v>
      </c>
      <c r="H940" s="170">
        <v>-2700000</v>
      </c>
      <c r="I940" s="168" t="s">
        <v>1200</v>
      </c>
      <c r="J940" s="168" t="s">
        <v>770</v>
      </c>
    </row>
    <row r="941" spans="2:10" ht="12" x14ac:dyDescent="0.15">
      <c r="B941" s="121">
        <v>13</v>
      </c>
      <c r="C941" s="167" t="s">
        <v>70</v>
      </c>
      <c r="D941" s="168" t="s">
        <v>1367</v>
      </c>
      <c r="E941" s="168" t="s">
        <v>770</v>
      </c>
      <c r="F941" s="169" t="s">
        <v>770</v>
      </c>
      <c r="G941" s="122" t="s">
        <v>770</v>
      </c>
      <c r="H941" s="170">
        <v>-2700000</v>
      </c>
      <c r="I941" s="168" t="s">
        <v>1200</v>
      </c>
      <c r="J941" s="168" t="s">
        <v>770</v>
      </c>
    </row>
    <row r="942" spans="2:10" ht="12" x14ac:dyDescent="0.15">
      <c r="B942" s="121">
        <v>13</v>
      </c>
      <c r="C942" s="167" t="s">
        <v>70</v>
      </c>
      <c r="D942" s="168" t="s">
        <v>1368</v>
      </c>
      <c r="E942" s="168" t="s">
        <v>770</v>
      </c>
      <c r="F942" s="169" t="s">
        <v>770</v>
      </c>
      <c r="G942" s="122" t="s">
        <v>770</v>
      </c>
      <c r="H942" s="170">
        <v>-2700000</v>
      </c>
      <c r="I942" s="168" t="s">
        <v>1200</v>
      </c>
      <c r="J942" s="168" t="s">
        <v>770</v>
      </c>
    </row>
    <row r="943" spans="2:10" ht="12" x14ac:dyDescent="0.15">
      <c r="B943" s="121">
        <v>13</v>
      </c>
      <c r="C943" s="167" t="s">
        <v>70</v>
      </c>
      <c r="D943" s="168" t="s">
        <v>1366</v>
      </c>
      <c r="E943" s="168" t="s">
        <v>770</v>
      </c>
      <c r="F943" s="169" t="s">
        <v>770</v>
      </c>
      <c r="G943" s="122" t="s">
        <v>770</v>
      </c>
      <c r="H943" s="170">
        <v>-2700000</v>
      </c>
      <c r="I943" s="168" t="s">
        <v>1200</v>
      </c>
      <c r="J943" s="168" t="s">
        <v>770</v>
      </c>
    </row>
    <row r="944" spans="2:10" ht="12" x14ac:dyDescent="0.15">
      <c r="B944" s="121">
        <v>13</v>
      </c>
      <c r="C944" s="167" t="s">
        <v>70</v>
      </c>
      <c r="D944" s="168" t="s">
        <v>1367</v>
      </c>
      <c r="E944" s="168" t="s">
        <v>770</v>
      </c>
      <c r="F944" s="169" t="s">
        <v>770</v>
      </c>
      <c r="G944" s="122" t="s">
        <v>770</v>
      </c>
      <c r="H944" s="170">
        <v>-2700000</v>
      </c>
      <c r="I944" s="168" t="s">
        <v>1200</v>
      </c>
      <c r="J944" s="168" t="s">
        <v>770</v>
      </c>
    </row>
    <row r="945" spans="2:10" ht="12" x14ac:dyDescent="0.15">
      <c r="B945" s="121">
        <v>13</v>
      </c>
      <c r="C945" s="167" t="s">
        <v>70</v>
      </c>
      <c r="D945" s="168" t="s">
        <v>1368</v>
      </c>
      <c r="E945" s="168" t="s">
        <v>770</v>
      </c>
      <c r="F945" s="169" t="s">
        <v>770</v>
      </c>
      <c r="G945" s="122" t="s">
        <v>770</v>
      </c>
      <c r="H945" s="170">
        <v>-2700000</v>
      </c>
      <c r="I945" s="168" t="s">
        <v>1200</v>
      </c>
      <c r="J945" s="168" t="s">
        <v>770</v>
      </c>
    </row>
    <row r="946" spans="2:10" ht="12" x14ac:dyDescent="0.15">
      <c r="B946" s="121">
        <v>13</v>
      </c>
      <c r="C946" s="167" t="s">
        <v>70</v>
      </c>
      <c r="D946" s="168" t="s">
        <v>1365</v>
      </c>
      <c r="E946" s="168" t="s">
        <v>770</v>
      </c>
      <c r="F946" s="169" t="s">
        <v>770</v>
      </c>
      <c r="G946" s="122" t="s">
        <v>770</v>
      </c>
      <c r="H946" s="170">
        <v>-300000000</v>
      </c>
      <c r="I946" s="168" t="s">
        <v>1200</v>
      </c>
      <c r="J946" s="168" t="s">
        <v>770</v>
      </c>
    </row>
    <row r="947" spans="2:10" ht="12" x14ac:dyDescent="0.15">
      <c r="B947" s="121">
        <v>13</v>
      </c>
      <c r="C947" s="167" t="s">
        <v>70</v>
      </c>
      <c r="D947" s="168" t="s">
        <v>1368</v>
      </c>
      <c r="E947" s="168" t="s">
        <v>770</v>
      </c>
      <c r="F947" s="169" t="s">
        <v>770</v>
      </c>
      <c r="G947" s="122" t="s">
        <v>770</v>
      </c>
      <c r="H947" s="170">
        <v>2700000</v>
      </c>
      <c r="I947" s="168" t="s">
        <v>1200</v>
      </c>
      <c r="J947" s="168" t="s">
        <v>770</v>
      </c>
    </row>
    <row r="948" spans="2:10" ht="12" x14ac:dyDescent="0.15">
      <c r="B948" s="121">
        <v>13</v>
      </c>
      <c r="C948" s="167" t="s">
        <v>70</v>
      </c>
      <c r="D948" s="168" t="s">
        <v>1367</v>
      </c>
      <c r="E948" s="168" t="s">
        <v>770</v>
      </c>
      <c r="F948" s="169" t="s">
        <v>770</v>
      </c>
      <c r="G948" s="122" t="s">
        <v>770</v>
      </c>
      <c r="H948" s="170">
        <v>2700000</v>
      </c>
      <c r="I948" s="168" t="s">
        <v>1200</v>
      </c>
      <c r="J948" s="168" t="s">
        <v>770</v>
      </c>
    </row>
    <row r="949" spans="2:10" ht="12" x14ac:dyDescent="0.15">
      <c r="B949" s="121">
        <v>13</v>
      </c>
      <c r="C949" s="167" t="s">
        <v>70</v>
      </c>
      <c r="D949" s="168" t="s">
        <v>1366</v>
      </c>
      <c r="E949" s="168" t="s">
        <v>770</v>
      </c>
      <c r="F949" s="169" t="s">
        <v>770</v>
      </c>
      <c r="G949" s="122" t="s">
        <v>770</v>
      </c>
      <c r="H949" s="170">
        <v>2700000</v>
      </c>
      <c r="I949" s="168" t="s">
        <v>1200</v>
      </c>
      <c r="J949" s="168" t="s">
        <v>770</v>
      </c>
    </row>
    <row r="950" spans="2:10" ht="12" x14ac:dyDescent="0.15">
      <c r="B950" s="121">
        <v>13</v>
      </c>
      <c r="C950" s="167" t="s">
        <v>70</v>
      </c>
      <c r="D950" s="168" t="s">
        <v>1241</v>
      </c>
      <c r="E950" s="168" t="s">
        <v>770</v>
      </c>
      <c r="F950" s="169" t="s">
        <v>770</v>
      </c>
      <c r="G950" s="122" t="s">
        <v>770</v>
      </c>
      <c r="H950" s="170">
        <v>5346000</v>
      </c>
      <c r="I950" s="168" t="s">
        <v>1200</v>
      </c>
      <c r="J950" s="168" t="s">
        <v>770</v>
      </c>
    </row>
    <row r="951" spans="2:10" ht="12" x14ac:dyDescent="0.15">
      <c r="B951" s="121">
        <v>13</v>
      </c>
      <c r="C951" s="167" t="s">
        <v>70</v>
      </c>
      <c r="D951" s="168" t="s">
        <v>1241</v>
      </c>
      <c r="E951" s="168" t="s">
        <v>770</v>
      </c>
      <c r="F951" s="169" t="s">
        <v>770</v>
      </c>
      <c r="G951" s="122" t="s">
        <v>770</v>
      </c>
      <c r="H951" s="170">
        <v>5346000</v>
      </c>
      <c r="I951" s="168" t="s">
        <v>1200</v>
      </c>
      <c r="J951" s="168" t="s">
        <v>770</v>
      </c>
    </row>
    <row r="952" spans="2:10" ht="12" x14ac:dyDescent="0.15">
      <c r="B952" s="121">
        <v>13</v>
      </c>
      <c r="C952" s="167" t="s">
        <v>70</v>
      </c>
      <c r="D952" s="168" t="s">
        <v>1241</v>
      </c>
      <c r="E952" s="168" t="s">
        <v>770</v>
      </c>
      <c r="F952" s="169" t="s">
        <v>770</v>
      </c>
      <c r="G952" s="122" t="s">
        <v>770</v>
      </c>
      <c r="H952" s="170">
        <v>5346000</v>
      </c>
      <c r="I952" s="168" t="s">
        <v>1200</v>
      </c>
      <c r="J952" s="168" t="s">
        <v>770</v>
      </c>
    </row>
    <row r="953" spans="2:10" ht="12" x14ac:dyDescent="0.15">
      <c r="B953" s="121">
        <v>13</v>
      </c>
      <c r="C953" s="167" t="s">
        <v>70</v>
      </c>
      <c r="D953" s="168" t="s">
        <v>1370</v>
      </c>
      <c r="E953" s="168" t="s">
        <v>770</v>
      </c>
      <c r="F953" s="169" t="s">
        <v>770</v>
      </c>
      <c r="G953" s="122" t="s">
        <v>770</v>
      </c>
      <c r="H953" s="170">
        <v>51672000</v>
      </c>
      <c r="I953" s="168" t="s">
        <v>1200</v>
      </c>
      <c r="J953" s="168" t="s">
        <v>770</v>
      </c>
    </row>
    <row r="954" spans="2:10" ht="12" x14ac:dyDescent="0.15">
      <c r="B954" s="121">
        <v>13</v>
      </c>
      <c r="C954" s="167" t="s">
        <v>70</v>
      </c>
      <c r="D954" s="168" t="s">
        <v>1371</v>
      </c>
      <c r="E954" s="168" t="s">
        <v>770</v>
      </c>
      <c r="F954" s="169" t="s">
        <v>770</v>
      </c>
      <c r="G954" s="122" t="s">
        <v>770</v>
      </c>
      <c r="H954" s="170">
        <v>10800000</v>
      </c>
      <c r="I954" s="168" t="s">
        <v>1200</v>
      </c>
      <c r="J954" s="168" t="s">
        <v>770</v>
      </c>
    </row>
    <row r="955" spans="2:10" ht="12" x14ac:dyDescent="0.15">
      <c r="B955" s="121">
        <v>13</v>
      </c>
      <c r="C955" s="167" t="s">
        <v>70</v>
      </c>
      <c r="D955" s="168" t="s">
        <v>1372</v>
      </c>
      <c r="E955" s="168" t="s">
        <v>770</v>
      </c>
      <c r="F955" s="169" t="s">
        <v>770</v>
      </c>
      <c r="G955" s="122" t="s">
        <v>770</v>
      </c>
      <c r="H955" s="170">
        <v>18000000</v>
      </c>
      <c r="I955" s="168" t="s">
        <v>1200</v>
      </c>
      <c r="J955" s="168" t="s">
        <v>770</v>
      </c>
    </row>
    <row r="956" spans="2:10" ht="12" x14ac:dyDescent="0.15">
      <c r="B956" s="121">
        <v>13</v>
      </c>
      <c r="C956" s="167" t="s">
        <v>70</v>
      </c>
      <c r="D956" s="168" t="s">
        <v>1373</v>
      </c>
      <c r="E956" s="168" t="s">
        <v>770</v>
      </c>
      <c r="F956" s="169" t="s">
        <v>770</v>
      </c>
      <c r="G956" s="122" t="s">
        <v>770</v>
      </c>
      <c r="H956" s="170">
        <v>29523000</v>
      </c>
      <c r="I956" s="168" t="s">
        <v>1200</v>
      </c>
      <c r="J956" s="168" t="s">
        <v>770</v>
      </c>
    </row>
    <row r="957" spans="2:10" ht="12" x14ac:dyDescent="0.15">
      <c r="B957" s="121">
        <v>13</v>
      </c>
      <c r="C957" s="167" t="s">
        <v>70</v>
      </c>
      <c r="D957" s="168" t="s">
        <v>1374</v>
      </c>
      <c r="E957" s="168" t="s">
        <v>770</v>
      </c>
      <c r="F957" s="169" t="s">
        <v>770</v>
      </c>
      <c r="G957" s="122" t="s">
        <v>770</v>
      </c>
      <c r="H957" s="170">
        <v>4460000</v>
      </c>
      <c r="I957" s="168" t="s">
        <v>1200</v>
      </c>
      <c r="J957" s="168" t="s">
        <v>770</v>
      </c>
    </row>
    <row r="958" spans="2:10" ht="12" x14ac:dyDescent="0.15">
      <c r="B958" s="121">
        <v>13</v>
      </c>
      <c r="C958" s="167" t="s">
        <v>70</v>
      </c>
      <c r="D958" s="168" t="s">
        <v>1370</v>
      </c>
      <c r="E958" s="168" t="s">
        <v>770</v>
      </c>
      <c r="F958" s="169" t="s">
        <v>770</v>
      </c>
      <c r="G958" s="122" t="s">
        <v>770</v>
      </c>
      <c r="H958" s="170">
        <v>-51672000</v>
      </c>
      <c r="I958" s="168" t="s">
        <v>1200</v>
      </c>
      <c r="J958" s="168" t="s">
        <v>770</v>
      </c>
    </row>
    <row r="959" spans="2:10" ht="12" x14ac:dyDescent="0.15">
      <c r="B959" s="121">
        <v>13</v>
      </c>
      <c r="C959" s="167" t="s">
        <v>70</v>
      </c>
      <c r="D959" s="168" t="s">
        <v>1371</v>
      </c>
      <c r="E959" s="168" t="s">
        <v>770</v>
      </c>
      <c r="F959" s="169" t="s">
        <v>770</v>
      </c>
      <c r="G959" s="122" t="s">
        <v>770</v>
      </c>
      <c r="H959" s="170">
        <v>-10800000</v>
      </c>
      <c r="I959" s="168" t="s">
        <v>1200</v>
      </c>
      <c r="J959" s="168" t="s">
        <v>770</v>
      </c>
    </row>
    <row r="960" spans="2:10" ht="12" x14ac:dyDescent="0.15">
      <c r="B960" s="121">
        <v>13</v>
      </c>
      <c r="C960" s="167" t="s">
        <v>70</v>
      </c>
      <c r="D960" s="168" t="s">
        <v>1372</v>
      </c>
      <c r="E960" s="168" t="s">
        <v>770</v>
      </c>
      <c r="F960" s="169" t="s">
        <v>770</v>
      </c>
      <c r="G960" s="122" t="s">
        <v>770</v>
      </c>
      <c r="H960" s="170">
        <v>-18000000</v>
      </c>
      <c r="I960" s="168" t="s">
        <v>1200</v>
      </c>
      <c r="J960" s="168" t="s">
        <v>770</v>
      </c>
    </row>
    <row r="961" spans="2:10" ht="12" x14ac:dyDescent="0.15">
      <c r="B961" s="121">
        <v>13</v>
      </c>
      <c r="C961" s="167" t="s">
        <v>70</v>
      </c>
      <c r="D961" s="168" t="s">
        <v>1373</v>
      </c>
      <c r="E961" s="168" t="s">
        <v>770</v>
      </c>
      <c r="F961" s="169" t="s">
        <v>770</v>
      </c>
      <c r="G961" s="122" t="s">
        <v>770</v>
      </c>
      <c r="H961" s="170">
        <v>-29523000</v>
      </c>
      <c r="I961" s="168" t="s">
        <v>1200</v>
      </c>
      <c r="J961" s="168" t="s">
        <v>770</v>
      </c>
    </row>
    <row r="962" spans="2:10" ht="12" x14ac:dyDescent="0.15">
      <c r="B962" s="121">
        <v>13</v>
      </c>
      <c r="C962" s="167" t="s">
        <v>70</v>
      </c>
      <c r="D962" s="168" t="s">
        <v>1374</v>
      </c>
      <c r="E962" s="168" t="s">
        <v>770</v>
      </c>
      <c r="F962" s="169" t="s">
        <v>770</v>
      </c>
      <c r="G962" s="122" t="s">
        <v>770</v>
      </c>
      <c r="H962" s="170">
        <v>-4460000</v>
      </c>
      <c r="I962" s="168" t="s">
        <v>1200</v>
      </c>
      <c r="J962" s="168" t="s">
        <v>770</v>
      </c>
    </row>
    <row r="963" spans="2:10" ht="12" x14ac:dyDescent="0.15">
      <c r="B963" s="121">
        <v>13</v>
      </c>
      <c r="C963" s="167" t="s">
        <v>70</v>
      </c>
      <c r="D963" s="168" t="s">
        <v>1199</v>
      </c>
      <c r="E963" s="168" t="s">
        <v>770</v>
      </c>
      <c r="F963" s="169" t="s">
        <v>770</v>
      </c>
      <c r="G963" s="122" t="s">
        <v>770</v>
      </c>
      <c r="H963" s="170">
        <v>1882500</v>
      </c>
      <c r="I963" s="168" t="s">
        <v>1200</v>
      </c>
      <c r="J963" s="168" t="s">
        <v>770</v>
      </c>
    </row>
    <row r="964" spans="2:10" ht="12" x14ac:dyDescent="0.15">
      <c r="B964" s="121">
        <v>13</v>
      </c>
      <c r="C964" s="167" t="s">
        <v>70</v>
      </c>
      <c r="D964" s="168" t="s">
        <v>1201</v>
      </c>
      <c r="E964" s="168" t="s">
        <v>770</v>
      </c>
      <c r="F964" s="169" t="s">
        <v>770</v>
      </c>
      <c r="G964" s="122" t="s">
        <v>770</v>
      </c>
      <c r="H964" s="170">
        <v>2700000</v>
      </c>
      <c r="I964" s="168" t="s">
        <v>1200</v>
      </c>
      <c r="J964" s="168" t="s">
        <v>770</v>
      </c>
    </row>
    <row r="965" spans="2:10" ht="12" x14ac:dyDescent="0.15">
      <c r="B965" s="121">
        <v>13</v>
      </c>
      <c r="C965" s="167" t="s">
        <v>70</v>
      </c>
      <c r="D965" s="168" t="s">
        <v>1202</v>
      </c>
      <c r="E965" s="168" t="s">
        <v>770</v>
      </c>
      <c r="F965" s="169" t="s">
        <v>770</v>
      </c>
      <c r="G965" s="122" t="s">
        <v>770</v>
      </c>
      <c r="H965" s="170">
        <v>2700000</v>
      </c>
      <c r="I965" s="168" t="s">
        <v>1200</v>
      </c>
      <c r="J965" s="168" t="s">
        <v>770</v>
      </c>
    </row>
    <row r="966" spans="2:10" ht="12" x14ac:dyDescent="0.15">
      <c r="B966" s="121">
        <v>13</v>
      </c>
      <c r="C966" s="167" t="s">
        <v>70</v>
      </c>
      <c r="D966" s="168" t="s">
        <v>1375</v>
      </c>
      <c r="E966" s="168" t="s">
        <v>770</v>
      </c>
      <c r="F966" s="169" t="s">
        <v>770</v>
      </c>
      <c r="G966" s="122" t="s">
        <v>770</v>
      </c>
      <c r="H966" s="170">
        <v>2700000</v>
      </c>
      <c r="I966" s="168" t="s">
        <v>1200</v>
      </c>
      <c r="J966" s="168" t="s">
        <v>770</v>
      </c>
    </row>
    <row r="967" spans="2:10" ht="12" x14ac:dyDescent="0.15">
      <c r="B967" s="121">
        <v>13</v>
      </c>
      <c r="C967" s="167" t="s">
        <v>70</v>
      </c>
      <c r="D967" s="168" t="s">
        <v>1376</v>
      </c>
      <c r="E967" s="168" t="s">
        <v>770</v>
      </c>
      <c r="F967" s="169" t="s">
        <v>770</v>
      </c>
      <c r="G967" s="122" t="s">
        <v>770</v>
      </c>
      <c r="H967" s="170">
        <v>3360000</v>
      </c>
      <c r="I967" s="168" t="s">
        <v>1200</v>
      </c>
      <c r="J967" s="168" t="s">
        <v>770</v>
      </c>
    </row>
    <row r="968" spans="2:10" ht="12" x14ac:dyDescent="0.15">
      <c r="B968" s="121">
        <v>13</v>
      </c>
      <c r="C968" s="167" t="s">
        <v>70</v>
      </c>
      <c r="D968" s="168" t="s">
        <v>1375</v>
      </c>
      <c r="E968" s="168" t="s">
        <v>770</v>
      </c>
      <c r="F968" s="169" t="s">
        <v>770</v>
      </c>
      <c r="G968" s="122" t="s">
        <v>770</v>
      </c>
      <c r="H968" s="170">
        <v>19080000</v>
      </c>
      <c r="I968" s="168" t="s">
        <v>1200</v>
      </c>
      <c r="J968" s="168" t="s">
        <v>770</v>
      </c>
    </row>
    <row r="969" spans="2:10" ht="12" x14ac:dyDescent="0.15">
      <c r="B969" s="121">
        <v>13</v>
      </c>
      <c r="C969" s="167" t="s">
        <v>70</v>
      </c>
      <c r="D969" s="168" t="s">
        <v>1377</v>
      </c>
      <c r="E969" s="168" t="s">
        <v>770</v>
      </c>
      <c r="F969" s="169" t="s">
        <v>770</v>
      </c>
      <c r="G969" s="122" t="s">
        <v>770</v>
      </c>
      <c r="H969" s="170">
        <v>1000000</v>
      </c>
      <c r="I969" s="168" t="s">
        <v>1200</v>
      </c>
      <c r="J969" s="168" t="s">
        <v>770</v>
      </c>
    </row>
    <row r="970" spans="2:10" ht="12" x14ac:dyDescent="0.15">
      <c r="B970" s="121">
        <v>13</v>
      </c>
      <c r="C970" s="167" t="s">
        <v>70</v>
      </c>
      <c r="D970" s="168" t="s">
        <v>1378</v>
      </c>
      <c r="E970" s="168" t="s">
        <v>770</v>
      </c>
      <c r="F970" s="169" t="s">
        <v>770</v>
      </c>
      <c r="G970" s="122" t="s">
        <v>770</v>
      </c>
      <c r="H970" s="170">
        <v>10000000</v>
      </c>
      <c r="I970" s="168" t="s">
        <v>1200</v>
      </c>
      <c r="J970" s="168" t="s">
        <v>770</v>
      </c>
    </row>
    <row r="971" spans="2:10" ht="12" x14ac:dyDescent="0.15">
      <c r="B971" s="121">
        <v>13</v>
      </c>
      <c r="C971" s="167" t="s">
        <v>70</v>
      </c>
      <c r="D971" s="168" t="s">
        <v>1379</v>
      </c>
      <c r="E971" s="168" t="s">
        <v>770</v>
      </c>
      <c r="F971" s="169" t="s">
        <v>770</v>
      </c>
      <c r="G971" s="122" t="s">
        <v>770</v>
      </c>
      <c r="H971" s="170">
        <v>6660000</v>
      </c>
      <c r="I971" s="168" t="s">
        <v>1200</v>
      </c>
      <c r="J971" s="168" t="s">
        <v>770</v>
      </c>
    </row>
    <row r="972" spans="2:10" ht="12" x14ac:dyDescent="0.15">
      <c r="B972" s="121">
        <v>13</v>
      </c>
      <c r="C972" s="167" t="s">
        <v>70</v>
      </c>
      <c r="D972" s="168" t="s">
        <v>1380</v>
      </c>
      <c r="E972" s="168" t="s">
        <v>770</v>
      </c>
      <c r="F972" s="169" t="s">
        <v>770</v>
      </c>
      <c r="G972" s="122" t="s">
        <v>770</v>
      </c>
      <c r="H972" s="170">
        <v>1000000</v>
      </c>
      <c r="I972" s="168" t="s">
        <v>1200</v>
      </c>
      <c r="J972" s="168" t="s">
        <v>770</v>
      </c>
    </row>
    <row r="973" spans="2:10" ht="12" x14ac:dyDescent="0.15">
      <c r="B973" s="121">
        <v>13</v>
      </c>
      <c r="C973" s="167" t="s">
        <v>70</v>
      </c>
      <c r="D973" s="168" t="s">
        <v>1380</v>
      </c>
      <c r="E973" s="168" t="s">
        <v>770</v>
      </c>
      <c r="F973" s="169" t="s">
        <v>770</v>
      </c>
      <c r="G973" s="122" t="s">
        <v>770</v>
      </c>
      <c r="H973" s="170">
        <v>1000000</v>
      </c>
      <c r="I973" s="168" t="s">
        <v>1200</v>
      </c>
      <c r="J973" s="168" t="s">
        <v>770</v>
      </c>
    </row>
    <row r="974" spans="2:10" ht="12" x14ac:dyDescent="0.15">
      <c r="B974" s="121">
        <v>13</v>
      </c>
      <c r="C974" s="167" t="s">
        <v>70</v>
      </c>
      <c r="D974" s="168" t="s">
        <v>1381</v>
      </c>
      <c r="E974" s="168" t="s">
        <v>770</v>
      </c>
      <c r="F974" s="169" t="s">
        <v>770</v>
      </c>
      <c r="G974" s="122" t="s">
        <v>770</v>
      </c>
      <c r="H974" s="170">
        <v>2100000</v>
      </c>
      <c r="I974" s="168" t="s">
        <v>1200</v>
      </c>
      <c r="J974" s="168" t="s">
        <v>770</v>
      </c>
    </row>
    <row r="975" spans="2:10" ht="12" x14ac:dyDescent="0.15">
      <c r="B975" s="121">
        <v>13</v>
      </c>
      <c r="C975" s="167" t="s">
        <v>70</v>
      </c>
      <c r="D975" s="168" t="s">
        <v>1382</v>
      </c>
      <c r="E975" s="168" t="s">
        <v>770</v>
      </c>
      <c r="F975" s="169" t="s">
        <v>770</v>
      </c>
      <c r="G975" s="122" t="s">
        <v>770</v>
      </c>
      <c r="H975" s="170">
        <v>400000</v>
      </c>
      <c r="I975" s="168" t="s">
        <v>1200</v>
      </c>
      <c r="J975" s="168" t="s">
        <v>770</v>
      </c>
    </row>
    <row r="976" spans="2:10" ht="12" x14ac:dyDescent="0.15">
      <c r="B976" s="121">
        <v>13</v>
      </c>
      <c r="C976" s="167" t="s">
        <v>70</v>
      </c>
      <c r="D976" s="168" t="s">
        <v>1383</v>
      </c>
      <c r="E976" s="168" t="s">
        <v>770</v>
      </c>
      <c r="F976" s="169" t="s">
        <v>770</v>
      </c>
      <c r="G976" s="122" t="s">
        <v>770</v>
      </c>
      <c r="H976" s="170">
        <v>400000</v>
      </c>
      <c r="I976" s="168" t="s">
        <v>1200</v>
      </c>
      <c r="J976" s="168" t="s">
        <v>770</v>
      </c>
    </row>
    <row r="977" spans="2:10" ht="12" x14ac:dyDescent="0.15">
      <c r="B977" s="121">
        <v>13</v>
      </c>
      <c r="C977" s="167" t="s">
        <v>70</v>
      </c>
      <c r="D977" s="168" t="s">
        <v>1384</v>
      </c>
      <c r="E977" s="168" t="s">
        <v>770</v>
      </c>
      <c r="F977" s="169" t="s">
        <v>770</v>
      </c>
      <c r="G977" s="122" t="s">
        <v>770</v>
      </c>
      <c r="H977" s="170">
        <v>200000</v>
      </c>
      <c r="I977" s="168" t="s">
        <v>1200</v>
      </c>
      <c r="J977" s="168" t="s">
        <v>770</v>
      </c>
    </row>
    <row r="978" spans="2:10" ht="12" x14ac:dyDescent="0.15">
      <c r="B978" s="121">
        <v>13</v>
      </c>
      <c r="C978" s="167" t="s">
        <v>70</v>
      </c>
      <c r="D978" s="168" t="s">
        <v>1385</v>
      </c>
      <c r="E978" s="168" t="s">
        <v>770</v>
      </c>
      <c r="F978" s="169" t="s">
        <v>770</v>
      </c>
      <c r="G978" s="122" t="s">
        <v>770</v>
      </c>
      <c r="H978" s="170">
        <v>400000</v>
      </c>
      <c r="I978" s="168" t="s">
        <v>1200</v>
      </c>
      <c r="J978" s="168" t="s">
        <v>770</v>
      </c>
    </row>
    <row r="979" spans="2:10" ht="12" x14ac:dyDescent="0.15">
      <c r="B979" s="121">
        <v>13</v>
      </c>
      <c r="C979" s="167" t="s">
        <v>70</v>
      </c>
      <c r="D979" s="168" t="s">
        <v>1386</v>
      </c>
      <c r="E979" s="168" t="s">
        <v>770</v>
      </c>
      <c r="F979" s="169" t="s">
        <v>770</v>
      </c>
      <c r="G979" s="122" t="s">
        <v>770</v>
      </c>
      <c r="H979" s="170">
        <v>200000</v>
      </c>
      <c r="I979" s="168" t="s">
        <v>1200</v>
      </c>
      <c r="J979" s="168" t="s">
        <v>770</v>
      </c>
    </row>
    <row r="980" spans="2:10" ht="12" x14ac:dyDescent="0.15">
      <c r="B980" s="121">
        <v>13</v>
      </c>
      <c r="C980" s="167" t="s">
        <v>70</v>
      </c>
      <c r="D980" s="168" t="s">
        <v>1387</v>
      </c>
      <c r="E980" s="168" t="s">
        <v>770</v>
      </c>
      <c r="F980" s="169" t="s">
        <v>770</v>
      </c>
      <c r="G980" s="122" t="s">
        <v>770</v>
      </c>
      <c r="H980" s="170">
        <v>782000</v>
      </c>
      <c r="I980" s="168" t="s">
        <v>1200</v>
      </c>
      <c r="J980" s="168" t="s">
        <v>770</v>
      </c>
    </row>
    <row r="981" spans="2:10" ht="12" x14ac:dyDescent="0.15">
      <c r="B981" s="121">
        <v>13</v>
      </c>
      <c r="C981" s="167" t="s">
        <v>70</v>
      </c>
      <c r="D981" s="168" t="s">
        <v>1388</v>
      </c>
      <c r="E981" s="168" t="s">
        <v>770</v>
      </c>
      <c r="F981" s="169" t="s">
        <v>770</v>
      </c>
      <c r="G981" s="122" t="s">
        <v>770</v>
      </c>
      <c r="H981" s="170">
        <v>500000</v>
      </c>
      <c r="I981" s="168" t="s">
        <v>1200</v>
      </c>
      <c r="J981" s="168" t="s">
        <v>770</v>
      </c>
    </row>
    <row r="982" spans="2:10" ht="12" x14ac:dyDescent="0.15">
      <c r="B982" s="121">
        <v>13</v>
      </c>
      <c r="C982" s="167" t="s">
        <v>70</v>
      </c>
      <c r="D982" s="168" t="s">
        <v>1389</v>
      </c>
      <c r="E982" s="168" t="s">
        <v>770</v>
      </c>
      <c r="F982" s="169" t="s">
        <v>770</v>
      </c>
      <c r="G982" s="122" t="s">
        <v>770</v>
      </c>
      <c r="H982" s="170">
        <v>400000</v>
      </c>
      <c r="I982" s="168" t="s">
        <v>1200</v>
      </c>
      <c r="J982" s="168" t="s">
        <v>770</v>
      </c>
    </row>
    <row r="983" spans="2:10" ht="12" x14ac:dyDescent="0.15">
      <c r="B983" s="121">
        <v>13</v>
      </c>
      <c r="C983" s="167" t="s">
        <v>70</v>
      </c>
      <c r="D983" s="168" t="s">
        <v>1390</v>
      </c>
      <c r="E983" s="168" t="s">
        <v>770</v>
      </c>
      <c r="F983" s="169" t="s">
        <v>770</v>
      </c>
      <c r="G983" s="122" t="s">
        <v>770</v>
      </c>
      <c r="H983" s="170">
        <v>400000</v>
      </c>
      <c r="I983" s="168" t="s">
        <v>1200</v>
      </c>
      <c r="J983" s="168" t="s">
        <v>770</v>
      </c>
    </row>
    <row r="984" spans="2:10" ht="12" x14ac:dyDescent="0.15">
      <c r="B984" s="121">
        <v>13</v>
      </c>
      <c r="C984" s="167" t="s">
        <v>70</v>
      </c>
      <c r="D984" s="168" t="s">
        <v>1391</v>
      </c>
      <c r="E984" s="168" t="s">
        <v>770</v>
      </c>
      <c r="F984" s="169" t="s">
        <v>770</v>
      </c>
      <c r="G984" s="122" t="s">
        <v>770</v>
      </c>
      <c r="H984" s="170">
        <v>1400000</v>
      </c>
      <c r="I984" s="168" t="s">
        <v>1200</v>
      </c>
      <c r="J984" s="168" t="s">
        <v>770</v>
      </c>
    </row>
    <row r="985" spans="2:10" ht="12" x14ac:dyDescent="0.15">
      <c r="B985" s="121">
        <v>13</v>
      </c>
      <c r="C985" s="167" t="s">
        <v>70</v>
      </c>
      <c r="D985" s="168" t="s">
        <v>1392</v>
      </c>
      <c r="E985" s="168" t="s">
        <v>770</v>
      </c>
      <c r="F985" s="169" t="s">
        <v>770</v>
      </c>
      <c r="G985" s="122" t="s">
        <v>770</v>
      </c>
      <c r="H985" s="170">
        <v>1320000</v>
      </c>
      <c r="I985" s="168" t="s">
        <v>1200</v>
      </c>
      <c r="J985" s="168" t="s">
        <v>770</v>
      </c>
    </row>
    <row r="986" spans="2:10" ht="12" x14ac:dyDescent="0.15">
      <c r="B986" s="121">
        <v>13</v>
      </c>
      <c r="C986" s="167" t="s">
        <v>70</v>
      </c>
      <c r="D986" s="168" t="s">
        <v>1393</v>
      </c>
      <c r="E986" s="168" t="s">
        <v>770</v>
      </c>
      <c r="F986" s="169" t="s">
        <v>770</v>
      </c>
      <c r="G986" s="122" t="s">
        <v>770</v>
      </c>
      <c r="H986" s="170">
        <v>1173000</v>
      </c>
      <c r="I986" s="168" t="s">
        <v>1200</v>
      </c>
      <c r="J986" s="168" t="s">
        <v>770</v>
      </c>
    </row>
    <row r="987" spans="2:10" ht="12" x14ac:dyDescent="0.15">
      <c r="B987" s="121">
        <v>13</v>
      </c>
      <c r="C987" s="167" t="s">
        <v>70</v>
      </c>
      <c r="D987" s="168" t="s">
        <v>1394</v>
      </c>
      <c r="E987" s="168" t="s">
        <v>770</v>
      </c>
      <c r="F987" s="169" t="s">
        <v>770</v>
      </c>
      <c r="G987" s="122" t="s">
        <v>770</v>
      </c>
      <c r="H987" s="170">
        <v>750000</v>
      </c>
      <c r="I987" s="168" t="s">
        <v>1200</v>
      </c>
      <c r="J987" s="168" t="s">
        <v>770</v>
      </c>
    </row>
    <row r="988" spans="2:10" ht="12" x14ac:dyDescent="0.15">
      <c r="B988" s="121">
        <v>13</v>
      </c>
      <c r="C988" s="167" t="s">
        <v>70</v>
      </c>
      <c r="D988" s="168" t="s">
        <v>1395</v>
      </c>
      <c r="E988" s="168" t="s">
        <v>770</v>
      </c>
      <c r="F988" s="169" t="s">
        <v>770</v>
      </c>
      <c r="G988" s="122" t="s">
        <v>770</v>
      </c>
      <c r="H988" s="170">
        <v>400000</v>
      </c>
      <c r="I988" s="168" t="s">
        <v>1200</v>
      </c>
      <c r="J988" s="168" t="s">
        <v>770</v>
      </c>
    </row>
    <row r="989" spans="2:10" ht="12" x14ac:dyDescent="0.15">
      <c r="B989" s="121">
        <v>13</v>
      </c>
      <c r="C989" s="167" t="s">
        <v>70</v>
      </c>
      <c r="D989" s="168" t="s">
        <v>1396</v>
      </c>
      <c r="E989" s="168" t="s">
        <v>770</v>
      </c>
      <c r="F989" s="169" t="s">
        <v>770</v>
      </c>
      <c r="G989" s="122" t="s">
        <v>770</v>
      </c>
      <c r="H989" s="170">
        <v>200000</v>
      </c>
      <c r="I989" s="168" t="s">
        <v>1200</v>
      </c>
      <c r="J989" s="168" t="s">
        <v>770</v>
      </c>
    </row>
    <row r="990" spans="2:10" ht="12" x14ac:dyDescent="0.15">
      <c r="B990" s="121">
        <v>13</v>
      </c>
      <c r="C990" s="167" t="s">
        <v>70</v>
      </c>
      <c r="D990" s="168" t="s">
        <v>1397</v>
      </c>
      <c r="E990" s="168" t="s">
        <v>770</v>
      </c>
      <c r="F990" s="169" t="s">
        <v>770</v>
      </c>
      <c r="G990" s="122" t="s">
        <v>770</v>
      </c>
      <c r="H990" s="170">
        <v>1000000</v>
      </c>
      <c r="I990" s="168" t="s">
        <v>1200</v>
      </c>
      <c r="J990" s="168" t="s">
        <v>770</v>
      </c>
    </row>
    <row r="991" spans="2:10" ht="12" x14ac:dyDescent="0.15">
      <c r="B991" s="121">
        <v>13</v>
      </c>
      <c r="C991" s="167" t="s">
        <v>70</v>
      </c>
      <c r="D991" s="168" t="s">
        <v>1398</v>
      </c>
      <c r="E991" s="168" t="s">
        <v>770</v>
      </c>
      <c r="F991" s="169" t="s">
        <v>770</v>
      </c>
      <c r="G991" s="122" t="s">
        <v>770</v>
      </c>
      <c r="H991" s="170">
        <v>1000000</v>
      </c>
      <c r="I991" s="168" t="s">
        <v>1200</v>
      </c>
      <c r="J991" s="168" t="s">
        <v>770</v>
      </c>
    </row>
    <row r="992" spans="2:10" ht="12" x14ac:dyDescent="0.15">
      <c r="B992" s="121">
        <v>13</v>
      </c>
      <c r="C992" s="167" t="s">
        <v>70</v>
      </c>
      <c r="D992" s="168" t="s">
        <v>1399</v>
      </c>
      <c r="E992" s="168" t="s">
        <v>770</v>
      </c>
      <c r="F992" s="169" t="s">
        <v>770</v>
      </c>
      <c r="G992" s="122" t="s">
        <v>770</v>
      </c>
      <c r="H992" s="170">
        <v>2000000</v>
      </c>
      <c r="I992" s="168" t="s">
        <v>1200</v>
      </c>
      <c r="J992" s="168" t="s">
        <v>770</v>
      </c>
    </row>
    <row r="993" spans="2:10" ht="12" x14ac:dyDescent="0.15">
      <c r="B993" s="121">
        <v>13</v>
      </c>
      <c r="C993" s="167" t="s">
        <v>70</v>
      </c>
      <c r="D993" s="168" t="s">
        <v>1400</v>
      </c>
      <c r="E993" s="168" t="s">
        <v>770</v>
      </c>
      <c r="F993" s="169" t="s">
        <v>770</v>
      </c>
      <c r="G993" s="122" t="s">
        <v>770</v>
      </c>
      <c r="H993" s="170">
        <v>1000000</v>
      </c>
      <c r="I993" s="168" t="s">
        <v>1200</v>
      </c>
      <c r="J993" s="168" t="s">
        <v>770</v>
      </c>
    </row>
    <row r="994" spans="2:10" ht="12" x14ac:dyDescent="0.15">
      <c r="B994" s="121">
        <v>13</v>
      </c>
      <c r="C994" s="167" t="s">
        <v>70</v>
      </c>
      <c r="D994" s="168" t="s">
        <v>1401</v>
      </c>
      <c r="E994" s="168" t="s">
        <v>770</v>
      </c>
      <c r="F994" s="169" t="s">
        <v>770</v>
      </c>
      <c r="G994" s="122" t="s">
        <v>770</v>
      </c>
      <c r="H994" s="170">
        <v>1000000</v>
      </c>
      <c r="I994" s="168" t="s">
        <v>1200</v>
      </c>
      <c r="J994" s="168" t="s">
        <v>770</v>
      </c>
    </row>
    <row r="995" spans="2:10" ht="12" x14ac:dyDescent="0.15">
      <c r="B995" s="121">
        <v>13</v>
      </c>
      <c r="C995" s="167" t="s">
        <v>70</v>
      </c>
      <c r="D995" s="168" t="s">
        <v>770</v>
      </c>
      <c r="E995" s="168" t="s">
        <v>770</v>
      </c>
      <c r="F995" s="169" t="s">
        <v>770</v>
      </c>
      <c r="G995" s="122" t="s">
        <v>770</v>
      </c>
      <c r="H995" s="170">
        <v>859458</v>
      </c>
      <c r="I995" s="168" t="s">
        <v>1200</v>
      </c>
      <c r="J995" s="168" t="s">
        <v>770</v>
      </c>
    </row>
    <row r="996" spans="2:10" ht="12" x14ac:dyDescent="0.15">
      <c r="B996" s="121">
        <v>13</v>
      </c>
      <c r="C996" s="167" t="s">
        <v>70</v>
      </c>
      <c r="D996" s="168" t="s">
        <v>770</v>
      </c>
      <c r="E996" s="168" t="s">
        <v>770</v>
      </c>
      <c r="F996" s="169" t="s">
        <v>770</v>
      </c>
      <c r="G996" s="122" t="s">
        <v>770</v>
      </c>
      <c r="H996" s="170">
        <v>636551</v>
      </c>
      <c r="I996" s="168" t="s">
        <v>1200</v>
      </c>
      <c r="J996" s="168" t="s">
        <v>770</v>
      </c>
    </row>
    <row r="997" spans="2:10" ht="12" x14ac:dyDescent="0.15">
      <c r="B997" s="121">
        <v>13</v>
      </c>
      <c r="C997" s="167" t="s">
        <v>70</v>
      </c>
      <c r="D997" s="168" t="s">
        <v>770</v>
      </c>
      <c r="E997" s="168" t="s">
        <v>770</v>
      </c>
      <c r="F997" s="169" t="s">
        <v>770</v>
      </c>
      <c r="G997" s="122" t="s">
        <v>770</v>
      </c>
      <c r="H997" s="170">
        <v>53843</v>
      </c>
      <c r="I997" s="168" t="s">
        <v>1200</v>
      </c>
      <c r="J997" s="168" t="s">
        <v>770</v>
      </c>
    </row>
    <row r="998" spans="2:10" ht="12" x14ac:dyDescent="0.15">
      <c r="B998" s="121">
        <v>13</v>
      </c>
      <c r="C998" s="167" t="s">
        <v>70</v>
      </c>
      <c r="D998" s="168" t="s">
        <v>770</v>
      </c>
      <c r="E998" s="168" t="s">
        <v>770</v>
      </c>
      <c r="F998" s="169" t="s">
        <v>770</v>
      </c>
      <c r="G998" s="122" t="s">
        <v>770</v>
      </c>
      <c r="H998" s="170">
        <v>44581</v>
      </c>
      <c r="I998" s="168" t="s">
        <v>1200</v>
      </c>
      <c r="J998" s="168" t="s">
        <v>770</v>
      </c>
    </row>
    <row r="999" spans="2:10" ht="12" x14ac:dyDescent="0.15">
      <c r="B999" s="121">
        <v>13</v>
      </c>
      <c r="C999" s="167" t="s">
        <v>70</v>
      </c>
      <c r="D999" s="168" t="s">
        <v>770</v>
      </c>
      <c r="E999" s="168" t="s">
        <v>770</v>
      </c>
      <c r="F999" s="169" t="s">
        <v>770</v>
      </c>
      <c r="G999" s="122" t="s">
        <v>770</v>
      </c>
      <c r="H999" s="170">
        <v>28916</v>
      </c>
      <c r="I999" s="168" t="s">
        <v>1200</v>
      </c>
      <c r="J999" s="168" t="s">
        <v>770</v>
      </c>
    </row>
    <row r="1000" spans="2:10" ht="12" x14ac:dyDescent="0.15">
      <c r="B1000" s="121">
        <v>13</v>
      </c>
      <c r="C1000" s="167" t="s">
        <v>70</v>
      </c>
      <c r="D1000" s="168" t="s">
        <v>770</v>
      </c>
      <c r="E1000" s="168" t="s">
        <v>770</v>
      </c>
      <c r="F1000" s="169" t="s">
        <v>770</v>
      </c>
      <c r="G1000" s="122" t="s">
        <v>770</v>
      </c>
      <c r="H1000" s="170">
        <v>90689</v>
      </c>
      <c r="I1000" s="168" t="s">
        <v>1200</v>
      </c>
      <c r="J1000" s="168" t="s">
        <v>770</v>
      </c>
    </row>
    <row r="1001" spans="2:10" ht="12" x14ac:dyDescent="0.15">
      <c r="B1001" s="121">
        <v>13</v>
      </c>
      <c r="C1001" s="167" t="s">
        <v>70</v>
      </c>
      <c r="D1001" s="168" t="s">
        <v>770</v>
      </c>
      <c r="E1001" s="168" t="s">
        <v>770</v>
      </c>
      <c r="F1001" s="169" t="s">
        <v>770</v>
      </c>
      <c r="G1001" s="122" t="s">
        <v>770</v>
      </c>
      <c r="H1001" s="170">
        <v>25123</v>
      </c>
      <c r="I1001" s="168" t="s">
        <v>1200</v>
      </c>
      <c r="J1001" s="168" t="s">
        <v>770</v>
      </c>
    </row>
    <row r="1002" spans="2:10" ht="12" x14ac:dyDescent="0.15">
      <c r="B1002" s="121">
        <v>13</v>
      </c>
      <c r="C1002" s="167" t="s">
        <v>70</v>
      </c>
      <c r="D1002" s="168" t="s">
        <v>770</v>
      </c>
      <c r="E1002" s="168" t="s">
        <v>770</v>
      </c>
      <c r="F1002" s="169" t="s">
        <v>770</v>
      </c>
      <c r="G1002" s="122" t="s">
        <v>770</v>
      </c>
      <c r="H1002" s="170">
        <v>2009463</v>
      </c>
      <c r="I1002" s="168" t="s">
        <v>1200</v>
      </c>
      <c r="J1002" s="168" t="s">
        <v>770</v>
      </c>
    </row>
    <row r="1003" spans="2:10" ht="12" x14ac:dyDescent="0.15">
      <c r="B1003" s="121">
        <v>13</v>
      </c>
      <c r="C1003" s="167" t="s">
        <v>70</v>
      </c>
      <c r="D1003" s="168" t="s">
        <v>770</v>
      </c>
      <c r="E1003" s="168" t="s">
        <v>770</v>
      </c>
      <c r="F1003" s="169" t="s">
        <v>770</v>
      </c>
      <c r="G1003" s="122" t="s">
        <v>770</v>
      </c>
      <c r="H1003" s="170">
        <v>2011470</v>
      </c>
      <c r="I1003" s="168" t="s">
        <v>1200</v>
      </c>
      <c r="J1003" s="168" t="s">
        <v>770</v>
      </c>
    </row>
    <row r="1004" spans="2:10" ht="12" x14ac:dyDescent="0.15">
      <c r="B1004" s="121">
        <v>13</v>
      </c>
      <c r="C1004" s="167" t="s">
        <v>70</v>
      </c>
      <c r="D1004" s="168" t="s">
        <v>770</v>
      </c>
      <c r="E1004" s="168" t="s">
        <v>770</v>
      </c>
      <c r="F1004" s="169" t="s">
        <v>770</v>
      </c>
      <c r="G1004" s="122" t="s">
        <v>770</v>
      </c>
      <c r="H1004" s="170">
        <v>2007020</v>
      </c>
      <c r="I1004" s="168" t="s">
        <v>1200</v>
      </c>
      <c r="J1004" s="168" t="s">
        <v>770</v>
      </c>
    </row>
    <row r="1005" spans="2:10" ht="12" x14ac:dyDescent="0.15">
      <c r="B1005" s="121">
        <v>13</v>
      </c>
      <c r="C1005" s="167" t="s">
        <v>70</v>
      </c>
      <c r="D1005" s="168" t="s">
        <v>770</v>
      </c>
      <c r="E1005" s="168" t="s">
        <v>770</v>
      </c>
      <c r="F1005" s="169" t="s">
        <v>770</v>
      </c>
      <c r="G1005" s="122" t="s">
        <v>770</v>
      </c>
      <c r="H1005" s="170">
        <v>2008530</v>
      </c>
      <c r="I1005" s="168" t="s">
        <v>1200</v>
      </c>
      <c r="J1005" s="168" t="s">
        <v>770</v>
      </c>
    </row>
    <row r="1006" spans="2:10" ht="12" x14ac:dyDescent="0.15">
      <c r="B1006" s="121">
        <v>13</v>
      </c>
      <c r="C1006" s="167" t="s">
        <v>70</v>
      </c>
      <c r="D1006" s="168" t="s">
        <v>770</v>
      </c>
      <c r="E1006" s="168" t="s">
        <v>770</v>
      </c>
      <c r="F1006" s="169" t="s">
        <v>770</v>
      </c>
      <c r="G1006" s="122" t="s">
        <v>770</v>
      </c>
      <c r="H1006" s="170">
        <v>1200564</v>
      </c>
      <c r="I1006" s="168" t="s">
        <v>1200</v>
      </c>
      <c r="J1006" s="168" t="s">
        <v>770</v>
      </c>
    </row>
    <row r="1007" spans="2:10" ht="12" x14ac:dyDescent="0.15">
      <c r="B1007" s="121">
        <v>13</v>
      </c>
      <c r="C1007" s="167" t="s">
        <v>70</v>
      </c>
      <c r="D1007" s="168" t="s">
        <v>770</v>
      </c>
      <c r="E1007" s="168" t="s">
        <v>770</v>
      </c>
      <c r="F1007" s="169" t="s">
        <v>770</v>
      </c>
      <c r="G1007" s="122" t="s">
        <v>770</v>
      </c>
      <c r="H1007" s="170">
        <v>2500686</v>
      </c>
      <c r="I1007" s="168" t="s">
        <v>1200</v>
      </c>
      <c r="J1007" s="168" t="s">
        <v>770</v>
      </c>
    </row>
    <row r="1008" spans="2:10" ht="12" x14ac:dyDescent="0.15">
      <c r="B1008" s="121">
        <v>13</v>
      </c>
      <c r="C1008" s="167" t="s">
        <v>70</v>
      </c>
      <c r="D1008" s="168" t="s">
        <v>770</v>
      </c>
      <c r="E1008" s="168" t="s">
        <v>770</v>
      </c>
      <c r="F1008" s="169" t="s">
        <v>770</v>
      </c>
      <c r="G1008" s="122" t="s">
        <v>770</v>
      </c>
      <c r="H1008" s="170">
        <v>1700470</v>
      </c>
      <c r="I1008" s="168" t="s">
        <v>1200</v>
      </c>
      <c r="J1008" s="168" t="s">
        <v>770</v>
      </c>
    </row>
    <row r="1009" spans="2:10" ht="12" x14ac:dyDescent="0.15">
      <c r="B1009" s="121">
        <v>13</v>
      </c>
      <c r="C1009" s="167" t="s">
        <v>70</v>
      </c>
      <c r="D1009" s="168" t="s">
        <v>770</v>
      </c>
      <c r="E1009" s="168" t="s">
        <v>770</v>
      </c>
      <c r="F1009" s="169" t="s">
        <v>770</v>
      </c>
      <c r="G1009" s="122" t="s">
        <v>770</v>
      </c>
      <c r="H1009" s="170">
        <v>2500588</v>
      </c>
      <c r="I1009" s="168" t="s">
        <v>1200</v>
      </c>
      <c r="J1009" s="168" t="s">
        <v>770</v>
      </c>
    </row>
    <row r="1010" spans="2:10" ht="12" x14ac:dyDescent="0.15">
      <c r="B1010" s="121">
        <v>13</v>
      </c>
      <c r="C1010" s="167" t="s">
        <v>70</v>
      </c>
      <c r="D1010" s="168" t="s">
        <v>770</v>
      </c>
      <c r="E1010" s="168" t="s">
        <v>770</v>
      </c>
      <c r="F1010" s="169" t="s">
        <v>770</v>
      </c>
      <c r="G1010" s="122" t="s">
        <v>770</v>
      </c>
      <c r="H1010" s="170">
        <v>1700293</v>
      </c>
      <c r="I1010" s="168" t="s">
        <v>1200</v>
      </c>
      <c r="J1010" s="168" t="s">
        <v>770</v>
      </c>
    </row>
    <row r="1011" spans="2:10" ht="12" x14ac:dyDescent="0.15">
      <c r="B1011" s="121">
        <v>13</v>
      </c>
      <c r="C1011" s="167" t="s">
        <v>70</v>
      </c>
      <c r="D1011" s="168" t="s">
        <v>770</v>
      </c>
      <c r="E1011" s="168" t="s">
        <v>770</v>
      </c>
      <c r="F1011" s="169" t="s">
        <v>770</v>
      </c>
      <c r="G1011" s="122" t="s">
        <v>770</v>
      </c>
      <c r="H1011" s="170">
        <v>1700393</v>
      </c>
      <c r="I1011" s="168" t="s">
        <v>1200</v>
      </c>
      <c r="J1011" s="168" t="s">
        <v>770</v>
      </c>
    </row>
    <row r="1012" spans="2:10" ht="12" x14ac:dyDescent="0.15">
      <c r="B1012" s="121">
        <v>13</v>
      </c>
      <c r="C1012" s="167" t="s">
        <v>70</v>
      </c>
      <c r="D1012" s="168" t="s">
        <v>770</v>
      </c>
      <c r="E1012" s="168" t="s">
        <v>770</v>
      </c>
      <c r="F1012" s="169" t="s">
        <v>770</v>
      </c>
      <c r="G1012" s="122" t="s">
        <v>770</v>
      </c>
      <c r="H1012" s="170">
        <v>1700995</v>
      </c>
      <c r="I1012" s="168" t="s">
        <v>1200</v>
      </c>
      <c r="J1012" s="168" t="s">
        <v>770</v>
      </c>
    </row>
    <row r="1013" spans="2:10" ht="12" x14ac:dyDescent="0.15">
      <c r="B1013" s="121">
        <v>13</v>
      </c>
      <c r="C1013" s="167" t="s">
        <v>70</v>
      </c>
      <c r="D1013" s="168" t="s">
        <v>770</v>
      </c>
      <c r="E1013" s="168" t="s">
        <v>770</v>
      </c>
      <c r="F1013" s="169" t="s">
        <v>770</v>
      </c>
      <c r="G1013" s="122" t="s">
        <v>770</v>
      </c>
      <c r="H1013" s="170">
        <v>2326465</v>
      </c>
      <c r="I1013" s="168" t="s">
        <v>1200</v>
      </c>
      <c r="J1013" s="168" t="s">
        <v>770</v>
      </c>
    </row>
    <row r="1014" spans="2:10" ht="12" x14ac:dyDescent="0.15">
      <c r="B1014" s="121">
        <v>13</v>
      </c>
      <c r="C1014" s="167" t="s">
        <v>70</v>
      </c>
      <c r="D1014" s="168" t="s">
        <v>770</v>
      </c>
      <c r="E1014" s="168" t="s">
        <v>770</v>
      </c>
      <c r="F1014" s="169" t="s">
        <v>770</v>
      </c>
      <c r="G1014" s="122" t="s">
        <v>770</v>
      </c>
      <c r="H1014" s="170">
        <v>1700274</v>
      </c>
      <c r="I1014" s="168" t="s">
        <v>1200</v>
      </c>
      <c r="J1014" s="168" t="s">
        <v>770</v>
      </c>
    </row>
    <row r="1015" spans="2:10" ht="12" x14ac:dyDescent="0.15">
      <c r="B1015" s="121">
        <v>13</v>
      </c>
      <c r="C1015" s="167" t="s">
        <v>70</v>
      </c>
      <c r="D1015" s="168" t="s">
        <v>770</v>
      </c>
      <c r="E1015" s="168" t="s">
        <v>770</v>
      </c>
      <c r="F1015" s="169" t="s">
        <v>770</v>
      </c>
      <c r="G1015" s="122" t="s">
        <v>770</v>
      </c>
      <c r="H1015" s="170">
        <v>1700294</v>
      </c>
      <c r="I1015" s="168" t="s">
        <v>1200</v>
      </c>
      <c r="J1015" s="168" t="s">
        <v>770</v>
      </c>
    </row>
    <row r="1016" spans="2:10" ht="12" x14ac:dyDescent="0.15">
      <c r="B1016" s="121">
        <v>13</v>
      </c>
      <c r="C1016" s="167" t="s">
        <v>70</v>
      </c>
      <c r="D1016" s="168" t="s">
        <v>770</v>
      </c>
      <c r="E1016" s="168" t="s">
        <v>770</v>
      </c>
      <c r="F1016" s="169" t="s">
        <v>770</v>
      </c>
      <c r="G1016" s="122" t="s">
        <v>770</v>
      </c>
      <c r="H1016" s="170">
        <v>5700000</v>
      </c>
      <c r="I1016" s="168" t="s">
        <v>1200</v>
      </c>
      <c r="J1016" s="168" t="s">
        <v>770</v>
      </c>
    </row>
    <row r="1017" spans="2:10" ht="12" x14ac:dyDescent="0.15">
      <c r="B1017" s="121">
        <v>13</v>
      </c>
      <c r="C1017" s="167" t="s">
        <v>70</v>
      </c>
      <c r="D1017" s="168" t="s">
        <v>770</v>
      </c>
      <c r="E1017" s="168" t="s">
        <v>770</v>
      </c>
      <c r="F1017" s="169" t="s">
        <v>770</v>
      </c>
      <c r="G1017" s="122" t="s">
        <v>770</v>
      </c>
      <c r="H1017" s="170">
        <v>4890600</v>
      </c>
      <c r="I1017" s="168" t="s">
        <v>1200</v>
      </c>
      <c r="J1017" s="168" t="s">
        <v>770</v>
      </c>
    </row>
    <row r="1018" spans="2:10" ht="12" x14ac:dyDescent="0.15">
      <c r="B1018" s="121">
        <v>13</v>
      </c>
      <c r="C1018" s="167" t="s">
        <v>70</v>
      </c>
      <c r="D1018" s="168" t="s">
        <v>1402</v>
      </c>
      <c r="E1018" s="168" t="s">
        <v>770</v>
      </c>
      <c r="F1018" s="169" t="s">
        <v>770</v>
      </c>
      <c r="G1018" s="122" t="s">
        <v>770</v>
      </c>
      <c r="H1018" s="170">
        <v>8400000</v>
      </c>
      <c r="I1018" s="168" t="s">
        <v>1200</v>
      </c>
      <c r="J1018" s="168" t="s">
        <v>770</v>
      </c>
    </row>
    <row r="1019" spans="2:10" ht="12" x14ac:dyDescent="0.15">
      <c r="B1019" s="121">
        <v>13</v>
      </c>
      <c r="C1019" s="167" t="s">
        <v>70</v>
      </c>
      <c r="D1019" s="168" t="s">
        <v>1403</v>
      </c>
      <c r="E1019" s="168" t="s">
        <v>770</v>
      </c>
      <c r="F1019" s="169" t="s">
        <v>770</v>
      </c>
      <c r="G1019" s="122" t="s">
        <v>770</v>
      </c>
      <c r="H1019" s="170">
        <v>8400000</v>
      </c>
      <c r="I1019" s="168" t="s">
        <v>1200</v>
      </c>
      <c r="J1019" s="168" t="s">
        <v>770</v>
      </c>
    </row>
    <row r="1020" spans="2:10" ht="12" x14ac:dyDescent="0.15">
      <c r="B1020" s="121">
        <v>13</v>
      </c>
      <c r="C1020" s="167" t="s">
        <v>70</v>
      </c>
      <c r="D1020" s="168" t="s">
        <v>1404</v>
      </c>
      <c r="E1020" s="168" t="s">
        <v>770</v>
      </c>
      <c r="F1020" s="169" t="s">
        <v>770</v>
      </c>
      <c r="G1020" s="122" t="s">
        <v>770</v>
      </c>
      <c r="H1020" s="170">
        <v>2700000</v>
      </c>
      <c r="I1020" s="168" t="s">
        <v>1200</v>
      </c>
      <c r="J1020" s="168" t="s">
        <v>770</v>
      </c>
    </row>
    <row r="1021" spans="2:10" ht="12" x14ac:dyDescent="0.15">
      <c r="B1021" s="121">
        <v>13</v>
      </c>
      <c r="C1021" s="167" t="s">
        <v>70</v>
      </c>
      <c r="D1021" s="168" t="s">
        <v>1405</v>
      </c>
      <c r="E1021" s="168" t="s">
        <v>770</v>
      </c>
      <c r="F1021" s="169" t="s">
        <v>770</v>
      </c>
      <c r="G1021" s="122" t="s">
        <v>770</v>
      </c>
      <c r="H1021" s="170">
        <v>2700000</v>
      </c>
      <c r="I1021" s="168" t="s">
        <v>1200</v>
      </c>
      <c r="J1021" s="168" t="s">
        <v>770</v>
      </c>
    </row>
    <row r="1022" spans="2:10" ht="12" x14ac:dyDescent="0.15">
      <c r="B1022" s="121">
        <v>13</v>
      </c>
      <c r="C1022" s="167" t="s">
        <v>70</v>
      </c>
      <c r="D1022" s="168" t="s">
        <v>1406</v>
      </c>
      <c r="E1022" s="168" t="s">
        <v>770</v>
      </c>
      <c r="F1022" s="169" t="s">
        <v>770</v>
      </c>
      <c r="G1022" s="122" t="s">
        <v>770</v>
      </c>
      <c r="H1022" s="170">
        <v>2700000</v>
      </c>
      <c r="I1022" s="168" t="s">
        <v>1200</v>
      </c>
      <c r="J1022" s="168" t="s">
        <v>770</v>
      </c>
    </row>
    <row r="1023" spans="2:10" ht="12" x14ac:dyDescent="0.15">
      <c r="B1023" s="121">
        <v>13</v>
      </c>
      <c r="C1023" s="167" t="s">
        <v>70</v>
      </c>
      <c r="D1023" s="168" t="s">
        <v>1215</v>
      </c>
      <c r="E1023" s="168" t="s">
        <v>770</v>
      </c>
      <c r="F1023" s="169" t="s">
        <v>770</v>
      </c>
      <c r="G1023" s="122" t="s">
        <v>770</v>
      </c>
      <c r="H1023" s="170">
        <v>57182400</v>
      </c>
      <c r="I1023" s="168" t="s">
        <v>1200</v>
      </c>
      <c r="J1023" s="168" t="s">
        <v>770</v>
      </c>
    </row>
    <row r="1024" spans="2:10" ht="12" x14ac:dyDescent="0.15">
      <c r="B1024" s="121">
        <v>13</v>
      </c>
      <c r="C1024" s="167" t="s">
        <v>70</v>
      </c>
      <c r="D1024" s="168" t="s">
        <v>1250</v>
      </c>
      <c r="E1024" s="168" t="s">
        <v>770</v>
      </c>
      <c r="F1024" s="169" t="s">
        <v>770</v>
      </c>
      <c r="G1024" s="122" t="s">
        <v>770</v>
      </c>
      <c r="H1024" s="170">
        <v>34000000</v>
      </c>
      <c r="I1024" s="168" t="s">
        <v>1200</v>
      </c>
      <c r="J1024" s="168" t="s">
        <v>770</v>
      </c>
    </row>
    <row r="1025" spans="2:10" ht="12" x14ac:dyDescent="0.15">
      <c r="B1025" s="121">
        <v>13</v>
      </c>
      <c r="C1025" s="167" t="s">
        <v>70</v>
      </c>
      <c r="D1025" s="168" t="s">
        <v>770</v>
      </c>
      <c r="E1025" s="168" t="s">
        <v>770</v>
      </c>
      <c r="F1025" s="169" t="s">
        <v>770</v>
      </c>
      <c r="G1025" s="122" t="s">
        <v>770</v>
      </c>
      <c r="H1025" s="170">
        <v>72765000</v>
      </c>
      <c r="I1025" s="168" t="s">
        <v>1200</v>
      </c>
      <c r="J1025" s="168" t="s">
        <v>770</v>
      </c>
    </row>
    <row r="1026" spans="2:10" ht="12" x14ac:dyDescent="0.15">
      <c r="B1026" s="121">
        <v>13</v>
      </c>
      <c r="C1026" s="167" t="s">
        <v>70</v>
      </c>
      <c r="D1026" s="168" t="s">
        <v>1407</v>
      </c>
      <c r="E1026" s="168" t="s">
        <v>770</v>
      </c>
      <c r="F1026" s="169" t="s">
        <v>770</v>
      </c>
      <c r="G1026" s="122" t="s">
        <v>770</v>
      </c>
      <c r="H1026" s="170">
        <v>1000000</v>
      </c>
      <c r="I1026" s="168" t="s">
        <v>1200</v>
      </c>
      <c r="J1026" s="168" t="s">
        <v>770</v>
      </c>
    </row>
    <row r="1027" spans="2:10" ht="12" x14ac:dyDescent="0.15">
      <c r="B1027" s="121">
        <v>13</v>
      </c>
      <c r="C1027" s="167" t="s">
        <v>70</v>
      </c>
      <c r="D1027" s="168" t="s">
        <v>1408</v>
      </c>
      <c r="E1027" s="168" t="s">
        <v>770</v>
      </c>
      <c r="F1027" s="169" t="s">
        <v>770</v>
      </c>
      <c r="G1027" s="122" t="s">
        <v>770</v>
      </c>
      <c r="H1027" s="170">
        <v>1000000</v>
      </c>
      <c r="I1027" s="168" t="s">
        <v>1200</v>
      </c>
      <c r="J1027" s="168" t="s">
        <v>770</v>
      </c>
    </row>
    <row r="1028" spans="2:10" ht="12" x14ac:dyDescent="0.15">
      <c r="B1028" s="121">
        <v>13</v>
      </c>
      <c r="C1028" s="167" t="s">
        <v>70</v>
      </c>
      <c r="D1028" s="168" t="s">
        <v>770</v>
      </c>
      <c r="E1028" s="168" t="s">
        <v>770</v>
      </c>
      <c r="F1028" s="169" t="s">
        <v>770</v>
      </c>
      <c r="G1028" s="122" t="s">
        <v>770</v>
      </c>
      <c r="H1028" s="170">
        <v>36515000</v>
      </c>
      <c r="I1028" s="168" t="s">
        <v>1200</v>
      </c>
      <c r="J1028" s="168" t="s">
        <v>770</v>
      </c>
    </row>
    <row r="1029" spans="2:10" ht="12" x14ac:dyDescent="0.15">
      <c r="B1029" s="121">
        <v>13</v>
      </c>
      <c r="C1029" s="167" t="s">
        <v>70</v>
      </c>
      <c r="D1029" s="168" t="s">
        <v>770</v>
      </c>
      <c r="E1029" s="168" t="s">
        <v>770</v>
      </c>
      <c r="F1029" s="169" t="s">
        <v>770</v>
      </c>
      <c r="G1029" s="122" t="s">
        <v>770</v>
      </c>
      <c r="H1029" s="170">
        <v>50585000</v>
      </c>
      <c r="I1029" s="168" t="s">
        <v>1200</v>
      </c>
      <c r="J1029" s="168" t="s">
        <v>770</v>
      </c>
    </row>
    <row r="1030" spans="2:10" ht="12" x14ac:dyDescent="0.15">
      <c r="B1030" s="121">
        <v>13</v>
      </c>
      <c r="C1030" s="167" t="s">
        <v>70</v>
      </c>
      <c r="D1030" s="168" t="s">
        <v>1409</v>
      </c>
      <c r="E1030" s="168" t="s">
        <v>770</v>
      </c>
      <c r="F1030" s="169" t="s">
        <v>770</v>
      </c>
      <c r="G1030" s="122" t="s">
        <v>770</v>
      </c>
      <c r="H1030" s="170">
        <v>62234000</v>
      </c>
      <c r="I1030" s="168" t="s">
        <v>1200</v>
      </c>
      <c r="J1030" s="168" t="s">
        <v>770</v>
      </c>
    </row>
    <row r="1031" spans="2:10" ht="12" x14ac:dyDescent="0.15">
      <c r="B1031" s="121">
        <v>13</v>
      </c>
      <c r="C1031" s="167" t="s">
        <v>70</v>
      </c>
      <c r="D1031" s="168" t="s">
        <v>1410</v>
      </c>
      <c r="E1031" s="168" t="s">
        <v>770</v>
      </c>
      <c r="F1031" s="169" t="s">
        <v>770</v>
      </c>
      <c r="G1031" s="122" t="s">
        <v>770</v>
      </c>
      <c r="H1031" s="170">
        <v>53600000</v>
      </c>
      <c r="I1031" s="168" t="s">
        <v>1200</v>
      </c>
      <c r="J1031" s="168" t="s">
        <v>770</v>
      </c>
    </row>
    <row r="1032" spans="2:10" ht="12" x14ac:dyDescent="0.15">
      <c r="B1032" s="121">
        <v>13</v>
      </c>
      <c r="C1032" s="167" t="s">
        <v>70</v>
      </c>
      <c r="D1032" s="168" t="s">
        <v>1411</v>
      </c>
      <c r="E1032" s="168" t="s">
        <v>770</v>
      </c>
      <c r="F1032" s="169" t="s">
        <v>770</v>
      </c>
      <c r="G1032" s="122" t="s">
        <v>770</v>
      </c>
      <c r="H1032" s="170">
        <v>-8400000</v>
      </c>
      <c r="I1032" s="168" t="s">
        <v>1200</v>
      </c>
      <c r="J1032" s="168" t="s">
        <v>770</v>
      </c>
    </row>
    <row r="1033" spans="2:10" ht="12" x14ac:dyDescent="0.15">
      <c r="B1033" s="121">
        <v>13</v>
      </c>
      <c r="C1033" s="167" t="s">
        <v>70</v>
      </c>
      <c r="D1033" s="168" t="s">
        <v>1412</v>
      </c>
      <c r="E1033" s="168" t="s">
        <v>770</v>
      </c>
      <c r="F1033" s="169" t="s">
        <v>770</v>
      </c>
      <c r="G1033" s="122" t="s">
        <v>770</v>
      </c>
      <c r="H1033" s="170">
        <v>-8400000</v>
      </c>
      <c r="I1033" s="168" t="s">
        <v>1200</v>
      </c>
      <c r="J1033" s="168" t="s">
        <v>770</v>
      </c>
    </row>
    <row r="1034" spans="2:10" ht="12" x14ac:dyDescent="0.15">
      <c r="B1034" s="121">
        <v>13</v>
      </c>
      <c r="C1034" s="167" t="s">
        <v>70</v>
      </c>
      <c r="D1034" s="168" t="s">
        <v>1413</v>
      </c>
      <c r="E1034" s="168" t="s">
        <v>770</v>
      </c>
      <c r="F1034" s="169" t="s">
        <v>770</v>
      </c>
      <c r="G1034" s="122" t="s">
        <v>770</v>
      </c>
      <c r="H1034" s="170">
        <v>-2700000</v>
      </c>
      <c r="I1034" s="168" t="s">
        <v>1200</v>
      </c>
      <c r="J1034" s="168" t="s">
        <v>770</v>
      </c>
    </row>
    <row r="1035" spans="2:10" ht="12" x14ac:dyDescent="0.15">
      <c r="B1035" s="121">
        <v>13</v>
      </c>
      <c r="C1035" s="167" t="s">
        <v>70</v>
      </c>
      <c r="D1035" s="168" t="s">
        <v>1414</v>
      </c>
      <c r="E1035" s="168" t="s">
        <v>770</v>
      </c>
      <c r="F1035" s="169" t="s">
        <v>770</v>
      </c>
      <c r="G1035" s="122" t="s">
        <v>770</v>
      </c>
      <c r="H1035" s="170">
        <v>-2700000</v>
      </c>
      <c r="I1035" s="168" t="s">
        <v>1200</v>
      </c>
      <c r="J1035" s="168" t="s">
        <v>770</v>
      </c>
    </row>
    <row r="1036" spans="2:10" ht="12" x14ac:dyDescent="0.15">
      <c r="B1036" s="121">
        <v>13</v>
      </c>
      <c r="C1036" s="167" t="s">
        <v>70</v>
      </c>
      <c r="D1036" s="168" t="s">
        <v>1415</v>
      </c>
      <c r="E1036" s="168" t="s">
        <v>770</v>
      </c>
      <c r="F1036" s="169" t="s">
        <v>770</v>
      </c>
      <c r="G1036" s="122" t="s">
        <v>770</v>
      </c>
      <c r="H1036" s="170">
        <v>-2700000</v>
      </c>
      <c r="I1036" s="168" t="s">
        <v>1200</v>
      </c>
      <c r="J1036" s="168" t="s">
        <v>770</v>
      </c>
    </row>
    <row r="1037" spans="2:10" ht="12" x14ac:dyDescent="0.15">
      <c r="B1037" s="121">
        <v>13</v>
      </c>
      <c r="C1037" s="167" t="s">
        <v>70</v>
      </c>
      <c r="D1037" s="168" t="s">
        <v>770</v>
      </c>
      <c r="E1037" s="168" t="s">
        <v>770</v>
      </c>
      <c r="F1037" s="169" t="s">
        <v>770</v>
      </c>
      <c r="G1037" s="122" t="s">
        <v>770</v>
      </c>
      <c r="H1037" s="170">
        <v>4500000</v>
      </c>
      <c r="I1037" s="168" t="s">
        <v>1200</v>
      </c>
      <c r="J1037" s="168" t="s">
        <v>770</v>
      </c>
    </row>
    <row r="1038" spans="2:10" ht="12" x14ac:dyDescent="0.15">
      <c r="B1038" s="121">
        <v>13</v>
      </c>
      <c r="C1038" s="167" t="s">
        <v>70</v>
      </c>
      <c r="D1038" s="168" t="s">
        <v>1416</v>
      </c>
      <c r="E1038" s="168" t="s">
        <v>770</v>
      </c>
      <c r="F1038" s="169" t="s">
        <v>770</v>
      </c>
      <c r="G1038" s="122" t="s">
        <v>770</v>
      </c>
      <c r="H1038" s="170">
        <v>5064000</v>
      </c>
      <c r="I1038" s="168" t="s">
        <v>1200</v>
      </c>
      <c r="J1038" s="168" t="s">
        <v>770</v>
      </c>
    </row>
    <row r="1039" spans="2:10" ht="12" x14ac:dyDescent="0.15">
      <c r="B1039" s="121">
        <v>13</v>
      </c>
      <c r="C1039" s="167" t="s">
        <v>70</v>
      </c>
      <c r="D1039" s="168" t="s">
        <v>1122</v>
      </c>
      <c r="E1039" s="168" t="s">
        <v>770</v>
      </c>
      <c r="F1039" s="169" t="s">
        <v>770</v>
      </c>
      <c r="G1039" s="122" t="s">
        <v>770</v>
      </c>
      <c r="H1039" s="170">
        <v>11340000</v>
      </c>
      <c r="I1039" s="168" t="s">
        <v>1200</v>
      </c>
      <c r="J1039" s="168" t="s">
        <v>770</v>
      </c>
    </row>
    <row r="1040" spans="2:10" ht="12" x14ac:dyDescent="0.15">
      <c r="B1040" s="121">
        <v>13</v>
      </c>
      <c r="C1040" s="167" t="s">
        <v>70</v>
      </c>
      <c r="D1040" s="168" t="s">
        <v>1417</v>
      </c>
      <c r="E1040" s="168" t="s">
        <v>770</v>
      </c>
      <c r="F1040" s="169" t="s">
        <v>770</v>
      </c>
      <c r="G1040" s="122" t="s">
        <v>770</v>
      </c>
      <c r="H1040" s="170">
        <v>7000000</v>
      </c>
      <c r="I1040" s="168" t="s">
        <v>1200</v>
      </c>
      <c r="J1040" s="168" t="s">
        <v>770</v>
      </c>
    </row>
    <row r="1041" spans="2:10" ht="12" x14ac:dyDescent="0.15">
      <c r="B1041" s="121">
        <v>13</v>
      </c>
      <c r="C1041" s="167" t="s">
        <v>70</v>
      </c>
      <c r="D1041" s="168" t="s">
        <v>1418</v>
      </c>
      <c r="E1041" s="168" t="s">
        <v>770</v>
      </c>
      <c r="F1041" s="169" t="s">
        <v>770</v>
      </c>
      <c r="G1041" s="122" t="s">
        <v>770</v>
      </c>
      <c r="H1041" s="170">
        <v>7000000</v>
      </c>
      <c r="I1041" s="168" t="s">
        <v>1200</v>
      </c>
      <c r="J1041" s="168" t="s">
        <v>770</v>
      </c>
    </row>
    <row r="1042" spans="2:10" ht="12" x14ac:dyDescent="0.15">
      <c r="B1042" s="121">
        <v>13</v>
      </c>
      <c r="C1042" s="167" t="s">
        <v>70</v>
      </c>
      <c r="D1042" s="168" t="s">
        <v>1122</v>
      </c>
      <c r="E1042" s="168" t="s">
        <v>770</v>
      </c>
      <c r="F1042" s="169" t="s">
        <v>770</v>
      </c>
      <c r="G1042" s="122" t="s">
        <v>770</v>
      </c>
      <c r="H1042" s="170">
        <v>-11340000</v>
      </c>
      <c r="I1042" s="168" t="s">
        <v>1200</v>
      </c>
      <c r="J1042" s="168" t="s">
        <v>770</v>
      </c>
    </row>
    <row r="1043" spans="2:10" ht="12" x14ac:dyDescent="0.15">
      <c r="B1043" s="121">
        <v>13</v>
      </c>
      <c r="C1043" s="167" t="s">
        <v>70</v>
      </c>
      <c r="D1043" s="168" t="s">
        <v>1243</v>
      </c>
      <c r="E1043" s="168" t="s">
        <v>770</v>
      </c>
      <c r="F1043" s="169" t="s">
        <v>770</v>
      </c>
      <c r="G1043" s="122" t="s">
        <v>770</v>
      </c>
      <c r="H1043" s="170">
        <v>8400000</v>
      </c>
      <c r="I1043" s="168" t="s">
        <v>1200</v>
      </c>
      <c r="J1043" s="168" t="s">
        <v>770</v>
      </c>
    </row>
    <row r="1044" spans="2:10" ht="12" x14ac:dyDescent="0.15">
      <c r="B1044" s="121">
        <v>13</v>
      </c>
      <c r="C1044" s="167" t="s">
        <v>70</v>
      </c>
      <c r="D1044" s="168" t="s">
        <v>1244</v>
      </c>
      <c r="E1044" s="168" t="s">
        <v>770</v>
      </c>
      <c r="F1044" s="169" t="s">
        <v>770</v>
      </c>
      <c r="G1044" s="122" t="s">
        <v>770</v>
      </c>
      <c r="H1044" s="170">
        <v>8400000</v>
      </c>
      <c r="I1044" s="168" t="s">
        <v>1200</v>
      </c>
      <c r="J1044" s="168" t="s">
        <v>770</v>
      </c>
    </row>
    <row r="1045" spans="2:10" ht="12" x14ac:dyDescent="0.15">
      <c r="B1045" s="121">
        <v>13</v>
      </c>
      <c r="C1045" s="167" t="s">
        <v>70</v>
      </c>
      <c r="D1045" s="168" t="s">
        <v>1419</v>
      </c>
      <c r="E1045" s="168" t="s">
        <v>770</v>
      </c>
      <c r="F1045" s="169" t="s">
        <v>770</v>
      </c>
      <c r="G1045" s="122" t="s">
        <v>770</v>
      </c>
      <c r="H1045" s="170">
        <v>44304000</v>
      </c>
      <c r="I1045" s="168" t="s">
        <v>1200</v>
      </c>
      <c r="J1045" s="168" t="s">
        <v>770</v>
      </c>
    </row>
    <row r="1046" spans="2:10" ht="12" x14ac:dyDescent="0.15">
      <c r="B1046" s="121">
        <v>13</v>
      </c>
      <c r="C1046" s="167" t="s">
        <v>70</v>
      </c>
      <c r="D1046" s="168" t="s">
        <v>1420</v>
      </c>
      <c r="E1046" s="168" t="s">
        <v>770</v>
      </c>
      <c r="F1046" s="169" t="s">
        <v>770</v>
      </c>
      <c r="G1046" s="122" t="s">
        <v>770</v>
      </c>
      <c r="H1046" s="170">
        <v>7000000</v>
      </c>
      <c r="I1046" s="168" t="s">
        <v>1200</v>
      </c>
      <c r="J1046" s="168" t="s">
        <v>770</v>
      </c>
    </row>
    <row r="1047" spans="2:10" ht="12" x14ac:dyDescent="0.15">
      <c r="B1047" s="121">
        <v>13</v>
      </c>
      <c r="C1047" s="167" t="s">
        <v>70</v>
      </c>
      <c r="D1047" s="168" t="s">
        <v>1421</v>
      </c>
      <c r="E1047" s="168" t="s">
        <v>770</v>
      </c>
      <c r="F1047" s="169" t="s">
        <v>770</v>
      </c>
      <c r="G1047" s="122" t="s">
        <v>770</v>
      </c>
      <c r="H1047" s="170">
        <v>7000000</v>
      </c>
      <c r="I1047" s="168" t="s">
        <v>1200</v>
      </c>
      <c r="J1047" s="168" t="s">
        <v>770</v>
      </c>
    </row>
    <row r="1048" spans="2:10" ht="12" x14ac:dyDescent="0.15">
      <c r="B1048" s="121">
        <v>13</v>
      </c>
      <c r="C1048" s="167" t="s">
        <v>70</v>
      </c>
      <c r="D1048" s="168" t="s">
        <v>1413</v>
      </c>
      <c r="E1048" s="168" t="s">
        <v>770</v>
      </c>
      <c r="F1048" s="169" t="s">
        <v>770</v>
      </c>
      <c r="G1048" s="122" t="s">
        <v>770</v>
      </c>
      <c r="H1048" s="170">
        <v>2700000</v>
      </c>
      <c r="I1048" s="168" t="s">
        <v>1200</v>
      </c>
      <c r="J1048" s="168" t="s">
        <v>770</v>
      </c>
    </row>
    <row r="1049" spans="2:10" ht="12" x14ac:dyDescent="0.15">
      <c r="B1049" s="121">
        <v>13</v>
      </c>
      <c r="C1049" s="167" t="s">
        <v>70</v>
      </c>
      <c r="D1049" s="168" t="s">
        <v>1414</v>
      </c>
      <c r="E1049" s="168" t="s">
        <v>770</v>
      </c>
      <c r="F1049" s="169" t="s">
        <v>770</v>
      </c>
      <c r="G1049" s="122" t="s">
        <v>770</v>
      </c>
      <c r="H1049" s="170">
        <v>2700000</v>
      </c>
      <c r="I1049" s="168" t="s">
        <v>1200</v>
      </c>
      <c r="J1049" s="168" t="s">
        <v>770</v>
      </c>
    </row>
    <row r="1050" spans="2:10" ht="12" x14ac:dyDescent="0.15">
      <c r="B1050" s="121">
        <v>13</v>
      </c>
      <c r="C1050" s="167" t="s">
        <v>70</v>
      </c>
      <c r="D1050" s="168" t="s">
        <v>1415</v>
      </c>
      <c r="E1050" s="168" t="s">
        <v>770</v>
      </c>
      <c r="F1050" s="169" t="s">
        <v>770</v>
      </c>
      <c r="G1050" s="122" t="s">
        <v>770</v>
      </c>
      <c r="H1050" s="170">
        <v>2700000</v>
      </c>
      <c r="I1050" s="168" t="s">
        <v>1200</v>
      </c>
      <c r="J1050" s="168" t="s">
        <v>770</v>
      </c>
    </row>
    <row r="1051" spans="2:10" ht="12" x14ac:dyDescent="0.15">
      <c r="B1051" s="121">
        <v>13</v>
      </c>
      <c r="C1051" s="167" t="s">
        <v>70</v>
      </c>
      <c r="D1051" s="168" t="s">
        <v>1420</v>
      </c>
      <c r="E1051" s="168" t="s">
        <v>770</v>
      </c>
      <c r="F1051" s="169" t="s">
        <v>770</v>
      </c>
      <c r="G1051" s="122" t="s">
        <v>770</v>
      </c>
      <c r="H1051" s="170">
        <v>-7000000</v>
      </c>
      <c r="I1051" s="168" t="s">
        <v>1200</v>
      </c>
      <c r="J1051" s="168" t="s">
        <v>770</v>
      </c>
    </row>
    <row r="1052" spans="2:10" ht="12" x14ac:dyDescent="0.15">
      <c r="B1052" s="121">
        <v>13</v>
      </c>
      <c r="C1052" s="167" t="s">
        <v>70</v>
      </c>
      <c r="D1052" s="168" t="s">
        <v>1420</v>
      </c>
      <c r="E1052" s="168" t="s">
        <v>770</v>
      </c>
      <c r="F1052" s="169" t="s">
        <v>770</v>
      </c>
      <c r="G1052" s="122" t="s">
        <v>770</v>
      </c>
      <c r="H1052" s="170">
        <v>-7000000</v>
      </c>
      <c r="I1052" s="168" t="s">
        <v>1200</v>
      </c>
      <c r="J1052" s="168" t="s">
        <v>770</v>
      </c>
    </row>
    <row r="1053" spans="2:10" ht="12" x14ac:dyDescent="0.15">
      <c r="B1053" s="121">
        <v>13</v>
      </c>
      <c r="C1053" s="167" t="s">
        <v>70</v>
      </c>
      <c r="D1053" s="168" t="s">
        <v>1422</v>
      </c>
      <c r="E1053" s="168" t="s">
        <v>770</v>
      </c>
      <c r="F1053" s="169" t="s">
        <v>770</v>
      </c>
      <c r="G1053" s="122" t="s">
        <v>770</v>
      </c>
      <c r="H1053" s="170">
        <v>2000000</v>
      </c>
      <c r="I1053" s="168" t="s">
        <v>1200</v>
      </c>
      <c r="J1053" s="168" t="s">
        <v>770</v>
      </c>
    </row>
    <row r="1054" spans="2:10" ht="12" x14ac:dyDescent="0.15">
      <c r="B1054" s="121">
        <v>13</v>
      </c>
      <c r="C1054" s="167" t="s">
        <v>70</v>
      </c>
      <c r="D1054" s="168" t="s">
        <v>1423</v>
      </c>
      <c r="E1054" s="168" t="s">
        <v>770</v>
      </c>
      <c r="F1054" s="169" t="s">
        <v>770</v>
      </c>
      <c r="G1054" s="122" t="s">
        <v>770</v>
      </c>
      <c r="H1054" s="170">
        <v>5346000</v>
      </c>
      <c r="I1054" s="168" t="s">
        <v>1200</v>
      </c>
      <c r="J1054" s="168" t="s">
        <v>770</v>
      </c>
    </row>
    <row r="1055" spans="2:10" ht="12" x14ac:dyDescent="0.15">
      <c r="B1055" s="121">
        <v>13</v>
      </c>
      <c r="C1055" s="167" t="s">
        <v>70</v>
      </c>
      <c r="D1055" s="168" t="s">
        <v>1424</v>
      </c>
      <c r="E1055" s="168" t="s">
        <v>770</v>
      </c>
      <c r="F1055" s="169" t="s">
        <v>770</v>
      </c>
      <c r="G1055" s="122" t="s">
        <v>770</v>
      </c>
      <c r="H1055" s="170">
        <v>1000000</v>
      </c>
      <c r="I1055" s="168" t="s">
        <v>1200</v>
      </c>
      <c r="J1055" s="168" t="s">
        <v>770</v>
      </c>
    </row>
    <row r="1056" spans="2:10" ht="12" x14ac:dyDescent="0.15">
      <c r="B1056" s="121">
        <v>13</v>
      </c>
      <c r="C1056" s="167" t="s">
        <v>70</v>
      </c>
      <c r="D1056" s="168" t="s">
        <v>1425</v>
      </c>
      <c r="E1056" s="168" t="s">
        <v>770</v>
      </c>
      <c r="F1056" s="169" t="s">
        <v>770</v>
      </c>
      <c r="G1056" s="122" t="s">
        <v>770</v>
      </c>
      <c r="H1056" s="170">
        <v>-5064000</v>
      </c>
      <c r="I1056" s="168" t="s">
        <v>1200</v>
      </c>
      <c r="J1056" s="168" t="s">
        <v>770</v>
      </c>
    </row>
    <row r="1057" spans="2:10" ht="12" x14ac:dyDescent="0.15">
      <c r="B1057" s="121">
        <v>13</v>
      </c>
      <c r="C1057" s="167" t="s">
        <v>70</v>
      </c>
      <c r="D1057" s="168" t="s">
        <v>1348</v>
      </c>
      <c r="E1057" s="168" t="s">
        <v>770</v>
      </c>
      <c r="F1057" s="169" t="s">
        <v>770</v>
      </c>
      <c r="G1057" s="122" t="s">
        <v>770</v>
      </c>
      <c r="H1057" s="170">
        <v>-11340000</v>
      </c>
      <c r="I1057" s="168" t="s">
        <v>1200</v>
      </c>
      <c r="J1057" s="168" t="s">
        <v>770</v>
      </c>
    </row>
    <row r="1058" spans="2:10" ht="12" x14ac:dyDescent="0.15">
      <c r="B1058" s="121">
        <v>13</v>
      </c>
      <c r="C1058" s="167" t="s">
        <v>70</v>
      </c>
      <c r="D1058" s="168" t="s">
        <v>1426</v>
      </c>
      <c r="E1058" s="168" t="s">
        <v>770</v>
      </c>
      <c r="F1058" s="169" t="s">
        <v>770</v>
      </c>
      <c r="G1058" s="122" t="s">
        <v>770</v>
      </c>
      <c r="H1058" s="170">
        <v>2000000</v>
      </c>
      <c r="I1058" s="168" t="s">
        <v>1200</v>
      </c>
      <c r="J1058" s="168" t="s">
        <v>770</v>
      </c>
    </row>
    <row r="1059" spans="2:10" ht="12" x14ac:dyDescent="0.15">
      <c r="B1059" s="121">
        <v>13</v>
      </c>
      <c r="C1059" s="167" t="s">
        <v>70</v>
      </c>
      <c r="D1059" s="168" t="s">
        <v>1427</v>
      </c>
      <c r="E1059" s="168" t="s">
        <v>770</v>
      </c>
      <c r="F1059" s="169" t="s">
        <v>770</v>
      </c>
      <c r="G1059" s="122" t="s">
        <v>770</v>
      </c>
      <c r="H1059" s="170">
        <v>1400000</v>
      </c>
      <c r="I1059" s="168" t="s">
        <v>1200</v>
      </c>
      <c r="J1059" s="168" t="s">
        <v>770</v>
      </c>
    </row>
    <row r="1060" spans="2:10" ht="12" x14ac:dyDescent="0.15">
      <c r="B1060" s="121">
        <v>13</v>
      </c>
      <c r="C1060" s="167" t="s">
        <v>70</v>
      </c>
      <c r="D1060" s="168" t="s">
        <v>1428</v>
      </c>
      <c r="E1060" s="168" t="s">
        <v>770</v>
      </c>
      <c r="F1060" s="169" t="s">
        <v>770</v>
      </c>
      <c r="G1060" s="122" t="s">
        <v>770</v>
      </c>
      <c r="H1060" s="170">
        <v>1400000</v>
      </c>
      <c r="I1060" s="168" t="s">
        <v>1200</v>
      </c>
      <c r="J1060" s="168" t="s">
        <v>770</v>
      </c>
    </row>
    <row r="1061" spans="2:10" ht="12" x14ac:dyDescent="0.15">
      <c r="B1061" s="121">
        <v>13</v>
      </c>
      <c r="C1061" s="167" t="s">
        <v>70</v>
      </c>
      <c r="D1061" s="168" t="s">
        <v>1429</v>
      </c>
      <c r="E1061" s="168" t="s">
        <v>770</v>
      </c>
      <c r="F1061" s="169" t="s">
        <v>770</v>
      </c>
      <c r="G1061" s="122" t="s">
        <v>770</v>
      </c>
      <c r="H1061" s="170">
        <v>1400000</v>
      </c>
      <c r="I1061" s="168" t="s">
        <v>1200</v>
      </c>
      <c r="J1061" s="168" t="s">
        <v>770</v>
      </c>
    </row>
    <row r="1062" spans="2:10" ht="12" x14ac:dyDescent="0.15">
      <c r="B1062" s="121">
        <v>13</v>
      </c>
      <c r="C1062" s="167" t="s">
        <v>70</v>
      </c>
      <c r="D1062" s="168" t="s">
        <v>1430</v>
      </c>
      <c r="E1062" s="168" t="s">
        <v>770</v>
      </c>
      <c r="F1062" s="169" t="s">
        <v>770</v>
      </c>
      <c r="G1062" s="122" t="s">
        <v>770</v>
      </c>
      <c r="H1062" s="170">
        <v>1400000</v>
      </c>
      <c r="I1062" s="168" t="s">
        <v>1200</v>
      </c>
      <c r="J1062" s="168" t="s">
        <v>770</v>
      </c>
    </row>
    <row r="1063" spans="2:10" ht="12" x14ac:dyDescent="0.15">
      <c r="B1063" s="121">
        <v>13</v>
      </c>
      <c r="C1063" s="167" t="s">
        <v>70</v>
      </c>
      <c r="D1063" s="168" t="s">
        <v>1431</v>
      </c>
      <c r="E1063" s="168" t="s">
        <v>770</v>
      </c>
      <c r="F1063" s="169" t="s">
        <v>770</v>
      </c>
      <c r="G1063" s="122" t="s">
        <v>770</v>
      </c>
      <c r="H1063" s="170">
        <v>800000</v>
      </c>
      <c r="I1063" s="168" t="s">
        <v>1200</v>
      </c>
      <c r="J1063" s="168" t="s">
        <v>770</v>
      </c>
    </row>
    <row r="1064" spans="2:10" ht="12" x14ac:dyDescent="0.15">
      <c r="B1064" s="121">
        <v>13</v>
      </c>
      <c r="C1064" s="167" t="s">
        <v>70</v>
      </c>
      <c r="D1064" s="168" t="s">
        <v>1432</v>
      </c>
      <c r="E1064" s="168" t="s">
        <v>770</v>
      </c>
      <c r="F1064" s="169" t="s">
        <v>770</v>
      </c>
      <c r="G1064" s="122" t="s">
        <v>770</v>
      </c>
      <c r="H1064" s="170">
        <v>880000</v>
      </c>
      <c r="I1064" s="168" t="s">
        <v>1200</v>
      </c>
      <c r="J1064" s="168" t="s">
        <v>770</v>
      </c>
    </row>
    <row r="1065" spans="2:10" ht="12" x14ac:dyDescent="0.15">
      <c r="B1065" s="121">
        <v>13</v>
      </c>
      <c r="C1065" s="167" t="s">
        <v>70</v>
      </c>
      <c r="D1065" s="168" t="s">
        <v>1433</v>
      </c>
      <c r="E1065" s="168" t="s">
        <v>770</v>
      </c>
      <c r="F1065" s="169" t="s">
        <v>770</v>
      </c>
      <c r="G1065" s="122" t="s">
        <v>770</v>
      </c>
      <c r="H1065" s="170">
        <v>782000</v>
      </c>
      <c r="I1065" s="168" t="s">
        <v>1200</v>
      </c>
      <c r="J1065" s="168" t="s">
        <v>770</v>
      </c>
    </row>
    <row r="1066" spans="2:10" ht="12" x14ac:dyDescent="0.15">
      <c r="B1066" s="121">
        <v>13</v>
      </c>
      <c r="C1066" s="167" t="s">
        <v>70</v>
      </c>
      <c r="D1066" s="168" t="s">
        <v>1434</v>
      </c>
      <c r="E1066" s="168" t="s">
        <v>770</v>
      </c>
      <c r="F1066" s="169" t="s">
        <v>770</v>
      </c>
      <c r="G1066" s="122" t="s">
        <v>770</v>
      </c>
      <c r="H1066" s="170">
        <v>782000</v>
      </c>
      <c r="I1066" s="168" t="s">
        <v>1200</v>
      </c>
      <c r="J1066" s="168" t="s">
        <v>770</v>
      </c>
    </row>
    <row r="1067" spans="2:10" ht="12" x14ac:dyDescent="0.15">
      <c r="B1067" s="121">
        <v>13</v>
      </c>
      <c r="C1067" s="167" t="s">
        <v>70</v>
      </c>
      <c r="D1067" s="168" t="s">
        <v>1435</v>
      </c>
      <c r="E1067" s="168" t="s">
        <v>770</v>
      </c>
      <c r="F1067" s="169" t="s">
        <v>770</v>
      </c>
      <c r="G1067" s="122" t="s">
        <v>770</v>
      </c>
      <c r="H1067" s="170">
        <v>880000</v>
      </c>
      <c r="I1067" s="168" t="s">
        <v>1200</v>
      </c>
      <c r="J1067" s="168" t="s">
        <v>770</v>
      </c>
    </row>
    <row r="1068" spans="2:10" ht="12" x14ac:dyDescent="0.15">
      <c r="B1068" s="121">
        <v>13</v>
      </c>
      <c r="C1068" s="167" t="s">
        <v>70</v>
      </c>
      <c r="D1068" s="168" t="s">
        <v>1436</v>
      </c>
      <c r="E1068" s="168" t="s">
        <v>770</v>
      </c>
      <c r="F1068" s="169" t="s">
        <v>770</v>
      </c>
      <c r="G1068" s="122" t="s">
        <v>770</v>
      </c>
      <c r="H1068" s="170">
        <v>880000</v>
      </c>
      <c r="I1068" s="168" t="s">
        <v>1200</v>
      </c>
      <c r="J1068" s="168" t="s">
        <v>770</v>
      </c>
    </row>
    <row r="1069" spans="2:10" ht="12" x14ac:dyDescent="0.15">
      <c r="B1069" s="121">
        <v>13</v>
      </c>
      <c r="C1069" s="167" t="s">
        <v>70</v>
      </c>
      <c r="D1069" s="168" t="s">
        <v>1437</v>
      </c>
      <c r="E1069" s="168" t="s">
        <v>770</v>
      </c>
      <c r="F1069" s="169" t="s">
        <v>770</v>
      </c>
      <c r="G1069" s="122" t="s">
        <v>770</v>
      </c>
      <c r="H1069" s="170">
        <v>782000</v>
      </c>
      <c r="I1069" s="168" t="s">
        <v>1200</v>
      </c>
      <c r="J1069" s="168" t="s">
        <v>770</v>
      </c>
    </row>
    <row r="1070" spans="2:10" ht="12" x14ac:dyDescent="0.15">
      <c r="B1070" s="121">
        <v>13</v>
      </c>
      <c r="C1070" s="167" t="s">
        <v>70</v>
      </c>
      <c r="D1070" s="168" t="s">
        <v>1438</v>
      </c>
      <c r="E1070" s="168" t="s">
        <v>770</v>
      </c>
      <c r="F1070" s="169" t="s">
        <v>770</v>
      </c>
      <c r="G1070" s="122" t="s">
        <v>770</v>
      </c>
      <c r="H1070" s="170">
        <v>782000</v>
      </c>
      <c r="I1070" s="168" t="s">
        <v>1200</v>
      </c>
      <c r="J1070" s="168" t="s">
        <v>770</v>
      </c>
    </row>
    <row r="1071" spans="2:10" ht="12" x14ac:dyDescent="0.15">
      <c r="B1071" s="121">
        <v>13</v>
      </c>
      <c r="C1071" s="167" t="s">
        <v>70</v>
      </c>
      <c r="D1071" s="168" t="s">
        <v>1439</v>
      </c>
      <c r="E1071" s="168" t="s">
        <v>770</v>
      </c>
      <c r="F1071" s="169" t="s">
        <v>770</v>
      </c>
      <c r="G1071" s="122" t="s">
        <v>770</v>
      </c>
      <c r="H1071" s="170">
        <v>782000</v>
      </c>
      <c r="I1071" s="168" t="s">
        <v>1200</v>
      </c>
      <c r="J1071" s="168" t="s">
        <v>770</v>
      </c>
    </row>
    <row r="1072" spans="2:10" ht="12" x14ac:dyDescent="0.15">
      <c r="B1072" s="121">
        <v>13</v>
      </c>
      <c r="C1072" s="167" t="s">
        <v>70</v>
      </c>
      <c r="D1072" s="168" t="s">
        <v>1440</v>
      </c>
      <c r="E1072" s="168" t="s">
        <v>770</v>
      </c>
      <c r="F1072" s="169" t="s">
        <v>770</v>
      </c>
      <c r="G1072" s="122" t="s">
        <v>770</v>
      </c>
      <c r="H1072" s="170">
        <v>782000</v>
      </c>
      <c r="I1072" s="168" t="s">
        <v>1200</v>
      </c>
      <c r="J1072" s="168" t="s">
        <v>770</v>
      </c>
    </row>
    <row r="1073" spans="2:10" ht="12" x14ac:dyDescent="0.15">
      <c r="B1073" s="121">
        <v>13</v>
      </c>
      <c r="C1073" s="167" t="s">
        <v>70</v>
      </c>
      <c r="D1073" s="168" t="s">
        <v>1441</v>
      </c>
      <c r="E1073" s="168" t="s">
        <v>770</v>
      </c>
      <c r="F1073" s="169" t="s">
        <v>770</v>
      </c>
      <c r="G1073" s="122" t="s">
        <v>770</v>
      </c>
      <c r="H1073" s="170">
        <v>400000</v>
      </c>
      <c r="I1073" s="168" t="s">
        <v>1200</v>
      </c>
      <c r="J1073" s="168" t="s">
        <v>770</v>
      </c>
    </row>
    <row r="1074" spans="2:10" ht="12" x14ac:dyDescent="0.15">
      <c r="B1074" s="121">
        <v>13</v>
      </c>
      <c r="C1074" s="167" t="s">
        <v>70</v>
      </c>
      <c r="D1074" s="168" t="s">
        <v>1442</v>
      </c>
      <c r="E1074" s="168" t="s">
        <v>770</v>
      </c>
      <c r="F1074" s="169" t="s">
        <v>770</v>
      </c>
      <c r="G1074" s="122" t="s">
        <v>770</v>
      </c>
      <c r="H1074" s="170">
        <v>400000</v>
      </c>
      <c r="I1074" s="168" t="s">
        <v>1200</v>
      </c>
      <c r="J1074" s="168" t="s">
        <v>770</v>
      </c>
    </row>
    <row r="1075" spans="2:10" ht="12" x14ac:dyDescent="0.15">
      <c r="B1075" s="121">
        <v>13</v>
      </c>
      <c r="C1075" s="167" t="s">
        <v>70</v>
      </c>
      <c r="D1075" s="168" t="s">
        <v>1443</v>
      </c>
      <c r="E1075" s="168" t="s">
        <v>770</v>
      </c>
      <c r="F1075" s="169" t="s">
        <v>770</v>
      </c>
      <c r="G1075" s="122" t="s">
        <v>770</v>
      </c>
      <c r="H1075" s="170">
        <v>400000</v>
      </c>
      <c r="I1075" s="168" t="s">
        <v>1200</v>
      </c>
      <c r="J1075" s="168" t="s">
        <v>770</v>
      </c>
    </row>
    <row r="1076" spans="2:10" ht="12" x14ac:dyDescent="0.15">
      <c r="B1076" s="121">
        <v>13</v>
      </c>
      <c r="C1076" s="167" t="s">
        <v>70</v>
      </c>
      <c r="D1076" s="168" t="s">
        <v>1444</v>
      </c>
      <c r="E1076" s="168" t="s">
        <v>770</v>
      </c>
      <c r="F1076" s="169" t="s">
        <v>770</v>
      </c>
      <c r="G1076" s="122" t="s">
        <v>770</v>
      </c>
      <c r="H1076" s="170">
        <v>400000</v>
      </c>
      <c r="I1076" s="168" t="s">
        <v>1200</v>
      </c>
      <c r="J1076" s="168" t="s">
        <v>770</v>
      </c>
    </row>
    <row r="1077" spans="2:10" ht="12" x14ac:dyDescent="0.15">
      <c r="B1077" s="121">
        <v>13</v>
      </c>
      <c r="C1077" s="167" t="s">
        <v>70</v>
      </c>
      <c r="D1077" s="168" t="s">
        <v>1445</v>
      </c>
      <c r="E1077" s="168" t="s">
        <v>770</v>
      </c>
      <c r="F1077" s="169" t="s">
        <v>770</v>
      </c>
      <c r="G1077" s="122" t="s">
        <v>770</v>
      </c>
      <c r="H1077" s="170">
        <v>400000</v>
      </c>
      <c r="I1077" s="168" t="s">
        <v>1200</v>
      </c>
      <c r="J1077" s="168" t="s">
        <v>770</v>
      </c>
    </row>
    <row r="1078" spans="2:10" ht="12" x14ac:dyDescent="0.15">
      <c r="B1078" s="121">
        <v>13</v>
      </c>
      <c r="C1078" s="167" t="s">
        <v>70</v>
      </c>
      <c r="D1078" s="168" t="s">
        <v>1233</v>
      </c>
      <c r="E1078" s="168" t="s">
        <v>770</v>
      </c>
      <c r="F1078" s="169" t="s">
        <v>770</v>
      </c>
      <c r="G1078" s="122" t="s">
        <v>770</v>
      </c>
      <c r="H1078" s="170">
        <v>1173000</v>
      </c>
      <c r="I1078" s="168" t="s">
        <v>1200</v>
      </c>
      <c r="J1078" s="168" t="s">
        <v>770</v>
      </c>
    </row>
    <row r="1079" spans="2:10" ht="12" x14ac:dyDescent="0.15">
      <c r="B1079" s="121">
        <v>13</v>
      </c>
      <c r="C1079" s="167" t="s">
        <v>70</v>
      </c>
      <c r="D1079" s="168" t="s">
        <v>1234</v>
      </c>
      <c r="E1079" s="168" t="s">
        <v>770</v>
      </c>
      <c r="F1079" s="169" t="s">
        <v>770</v>
      </c>
      <c r="G1079" s="122" t="s">
        <v>770</v>
      </c>
      <c r="H1079" s="170">
        <v>1320000</v>
      </c>
      <c r="I1079" s="168" t="s">
        <v>1200</v>
      </c>
      <c r="J1079" s="168" t="s">
        <v>770</v>
      </c>
    </row>
    <row r="1080" spans="2:10" ht="12" x14ac:dyDescent="0.15">
      <c r="B1080" s="121">
        <v>13</v>
      </c>
      <c r="C1080" s="167" t="s">
        <v>70</v>
      </c>
      <c r="D1080" s="168" t="s">
        <v>1235</v>
      </c>
      <c r="E1080" s="168" t="s">
        <v>770</v>
      </c>
      <c r="F1080" s="169" t="s">
        <v>770</v>
      </c>
      <c r="G1080" s="122" t="s">
        <v>770</v>
      </c>
      <c r="H1080" s="170">
        <v>500000</v>
      </c>
      <c r="I1080" s="168" t="s">
        <v>1200</v>
      </c>
      <c r="J1080" s="168" t="s">
        <v>770</v>
      </c>
    </row>
    <row r="1081" spans="2:10" ht="12" x14ac:dyDescent="0.15">
      <c r="B1081" s="121">
        <v>13</v>
      </c>
      <c r="C1081" s="167" t="s">
        <v>70</v>
      </c>
      <c r="D1081" s="168" t="s">
        <v>1236</v>
      </c>
      <c r="E1081" s="168" t="s">
        <v>770</v>
      </c>
      <c r="F1081" s="169" t="s">
        <v>770</v>
      </c>
      <c r="G1081" s="122" t="s">
        <v>770</v>
      </c>
      <c r="H1081" s="170">
        <v>1400000</v>
      </c>
      <c r="I1081" s="168" t="s">
        <v>1200</v>
      </c>
      <c r="J1081" s="168" t="s">
        <v>770</v>
      </c>
    </row>
    <row r="1082" spans="2:10" ht="12" x14ac:dyDescent="0.15">
      <c r="B1082" s="121">
        <v>13</v>
      </c>
      <c r="C1082" s="167" t="s">
        <v>70</v>
      </c>
      <c r="D1082" s="168" t="s">
        <v>1237</v>
      </c>
      <c r="E1082" s="168" t="s">
        <v>770</v>
      </c>
      <c r="F1082" s="169" t="s">
        <v>770</v>
      </c>
      <c r="G1082" s="122" t="s">
        <v>770</v>
      </c>
      <c r="H1082" s="170">
        <v>400000</v>
      </c>
      <c r="I1082" s="168" t="s">
        <v>1200</v>
      </c>
      <c r="J1082" s="168" t="s">
        <v>770</v>
      </c>
    </row>
    <row r="1083" spans="2:10" ht="12" x14ac:dyDescent="0.15">
      <c r="B1083" s="121">
        <v>13</v>
      </c>
      <c r="C1083" s="167" t="s">
        <v>70</v>
      </c>
      <c r="D1083" s="168" t="s">
        <v>1238</v>
      </c>
      <c r="E1083" s="168" t="s">
        <v>770</v>
      </c>
      <c r="F1083" s="169" t="s">
        <v>770</v>
      </c>
      <c r="G1083" s="122" t="s">
        <v>770</v>
      </c>
      <c r="H1083" s="170">
        <v>400000</v>
      </c>
      <c r="I1083" s="168" t="s">
        <v>1200</v>
      </c>
      <c r="J1083" s="168" t="s">
        <v>770</v>
      </c>
    </row>
    <row r="1084" spans="2:10" ht="12" x14ac:dyDescent="0.15">
      <c r="B1084" s="121">
        <v>13</v>
      </c>
      <c r="C1084" s="167" t="s">
        <v>70</v>
      </c>
      <c r="D1084" s="168" t="s">
        <v>1239</v>
      </c>
      <c r="E1084" s="168" t="s">
        <v>770</v>
      </c>
      <c r="F1084" s="169" t="s">
        <v>770</v>
      </c>
      <c r="G1084" s="122" t="s">
        <v>770</v>
      </c>
      <c r="H1084" s="170">
        <v>2800000</v>
      </c>
      <c r="I1084" s="168" t="s">
        <v>1200</v>
      </c>
      <c r="J1084" s="168" t="s">
        <v>770</v>
      </c>
    </row>
    <row r="1085" spans="2:10" ht="12" x14ac:dyDescent="0.15">
      <c r="B1085" s="121">
        <v>13</v>
      </c>
      <c r="C1085" s="167" t="s">
        <v>70</v>
      </c>
      <c r="D1085" s="168" t="s">
        <v>1245</v>
      </c>
      <c r="E1085" s="168" t="s">
        <v>770</v>
      </c>
      <c r="F1085" s="169" t="s">
        <v>770</v>
      </c>
      <c r="G1085" s="122" t="s">
        <v>770</v>
      </c>
      <c r="H1085" s="170">
        <v>5064000</v>
      </c>
      <c r="I1085" s="168" t="s">
        <v>1200</v>
      </c>
      <c r="J1085" s="168" t="s">
        <v>770</v>
      </c>
    </row>
    <row r="1086" spans="2:10" ht="12" x14ac:dyDescent="0.15">
      <c r="B1086" s="121">
        <v>13</v>
      </c>
      <c r="C1086" s="167" t="s">
        <v>70</v>
      </c>
      <c r="D1086" s="168" t="s">
        <v>1348</v>
      </c>
      <c r="E1086" s="168" t="s">
        <v>770</v>
      </c>
      <c r="F1086" s="169" t="s">
        <v>770</v>
      </c>
      <c r="G1086" s="122" t="s">
        <v>770</v>
      </c>
      <c r="H1086" s="170">
        <v>11340000</v>
      </c>
      <c r="I1086" s="168" t="s">
        <v>1200</v>
      </c>
      <c r="J1086" s="168" t="s">
        <v>770</v>
      </c>
    </row>
    <row r="1087" spans="2:10" ht="12" x14ac:dyDescent="0.15">
      <c r="B1087" s="121">
        <v>13</v>
      </c>
      <c r="C1087" s="167" t="s">
        <v>70</v>
      </c>
      <c r="D1087" s="168" t="s">
        <v>1446</v>
      </c>
      <c r="E1087" s="168" t="s">
        <v>770</v>
      </c>
      <c r="F1087" s="169" t="s">
        <v>770</v>
      </c>
      <c r="G1087" s="122" t="s">
        <v>770</v>
      </c>
      <c r="H1087" s="170">
        <v>3000000</v>
      </c>
      <c r="I1087" s="168" t="s">
        <v>1200</v>
      </c>
      <c r="J1087" s="168" t="s">
        <v>770</v>
      </c>
    </row>
    <row r="1088" spans="2:10" ht="12" x14ac:dyDescent="0.15">
      <c r="B1088" s="121">
        <v>13</v>
      </c>
      <c r="C1088" s="167" t="s">
        <v>70</v>
      </c>
      <c r="D1088" s="168" t="s">
        <v>1447</v>
      </c>
      <c r="E1088" s="168" t="s">
        <v>770</v>
      </c>
      <c r="F1088" s="169" t="s">
        <v>770</v>
      </c>
      <c r="G1088" s="122" t="s">
        <v>770</v>
      </c>
      <c r="H1088" s="170">
        <v>4500000</v>
      </c>
      <c r="I1088" s="168" t="s">
        <v>1200</v>
      </c>
      <c r="J1088" s="168" t="s">
        <v>770</v>
      </c>
    </row>
    <row r="1089" spans="2:10" ht="12" x14ac:dyDescent="0.15">
      <c r="B1089" s="121">
        <v>13</v>
      </c>
      <c r="C1089" s="167" t="s">
        <v>70</v>
      </c>
      <c r="D1089" s="168" t="s">
        <v>1448</v>
      </c>
      <c r="E1089" s="168" t="s">
        <v>770</v>
      </c>
      <c r="F1089" s="169" t="s">
        <v>770</v>
      </c>
      <c r="G1089" s="122" t="s">
        <v>770</v>
      </c>
      <c r="H1089" s="170">
        <v>1000000</v>
      </c>
      <c r="I1089" s="168" t="s">
        <v>1200</v>
      </c>
      <c r="J1089" s="168" t="s">
        <v>770</v>
      </c>
    </row>
    <row r="1090" spans="2:10" ht="12" x14ac:dyDescent="0.15">
      <c r="B1090" s="121">
        <v>13</v>
      </c>
      <c r="C1090" s="167" t="s">
        <v>70</v>
      </c>
      <c r="D1090" s="168" t="s">
        <v>1449</v>
      </c>
      <c r="E1090" s="168" t="s">
        <v>770</v>
      </c>
      <c r="F1090" s="169" t="s">
        <v>770</v>
      </c>
      <c r="G1090" s="122" t="s">
        <v>770</v>
      </c>
      <c r="H1090" s="170">
        <v>1000000</v>
      </c>
      <c r="I1090" s="168" t="s">
        <v>1200</v>
      </c>
      <c r="J1090" s="168" t="s">
        <v>770</v>
      </c>
    </row>
    <row r="1091" spans="2:10" ht="12" x14ac:dyDescent="0.15">
      <c r="B1091" s="121">
        <v>13</v>
      </c>
      <c r="C1091" s="167" t="s">
        <v>70</v>
      </c>
      <c r="D1091" s="168" t="s">
        <v>1450</v>
      </c>
      <c r="E1091" s="168" t="s">
        <v>770</v>
      </c>
      <c r="F1091" s="169" t="s">
        <v>770</v>
      </c>
      <c r="G1091" s="122" t="s">
        <v>770</v>
      </c>
      <c r="H1091" s="170">
        <v>2100000</v>
      </c>
      <c r="I1091" s="168" t="s">
        <v>1200</v>
      </c>
      <c r="J1091" s="168" t="s">
        <v>770</v>
      </c>
    </row>
    <row r="1092" spans="2:10" ht="12" x14ac:dyDescent="0.15">
      <c r="B1092" s="121">
        <v>13</v>
      </c>
      <c r="C1092" s="167" t="s">
        <v>70</v>
      </c>
      <c r="D1092" s="168" t="s">
        <v>1450</v>
      </c>
      <c r="E1092" s="168" t="s">
        <v>770</v>
      </c>
      <c r="F1092" s="169" t="s">
        <v>770</v>
      </c>
      <c r="G1092" s="122" t="s">
        <v>770</v>
      </c>
      <c r="H1092" s="170">
        <v>2100000</v>
      </c>
      <c r="I1092" s="168" t="s">
        <v>1200</v>
      </c>
      <c r="J1092" s="168" t="s">
        <v>770</v>
      </c>
    </row>
    <row r="1093" spans="2:10" ht="12" x14ac:dyDescent="0.15">
      <c r="B1093" s="121">
        <v>13</v>
      </c>
      <c r="C1093" s="167" t="s">
        <v>70</v>
      </c>
      <c r="D1093" s="168" t="s">
        <v>1451</v>
      </c>
      <c r="E1093" s="168" t="s">
        <v>770</v>
      </c>
      <c r="F1093" s="169" t="s">
        <v>770</v>
      </c>
      <c r="G1093" s="122" t="s">
        <v>770</v>
      </c>
      <c r="H1093" s="170">
        <v>1173000</v>
      </c>
      <c r="I1093" s="168" t="s">
        <v>1200</v>
      </c>
      <c r="J1093" s="168" t="s">
        <v>770</v>
      </c>
    </row>
    <row r="1094" spans="2:10" ht="12" x14ac:dyDescent="0.15">
      <c r="B1094" s="121">
        <v>13</v>
      </c>
      <c r="C1094" s="167" t="s">
        <v>70</v>
      </c>
      <c r="D1094" s="168" t="s">
        <v>1452</v>
      </c>
      <c r="E1094" s="168" t="s">
        <v>770</v>
      </c>
      <c r="F1094" s="169" t="s">
        <v>770</v>
      </c>
      <c r="G1094" s="122" t="s">
        <v>770</v>
      </c>
      <c r="H1094" s="170">
        <v>500000</v>
      </c>
      <c r="I1094" s="168" t="s">
        <v>1200</v>
      </c>
      <c r="J1094" s="168" t="s">
        <v>770</v>
      </c>
    </row>
    <row r="1095" spans="2:10" ht="12" x14ac:dyDescent="0.15">
      <c r="B1095" s="121">
        <v>13</v>
      </c>
      <c r="C1095" s="167" t="s">
        <v>70</v>
      </c>
      <c r="D1095" s="168" t="s">
        <v>1453</v>
      </c>
      <c r="E1095" s="168" t="s">
        <v>770</v>
      </c>
      <c r="F1095" s="169" t="s">
        <v>770</v>
      </c>
      <c r="G1095" s="122" t="s">
        <v>770</v>
      </c>
      <c r="H1095" s="170">
        <v>-300000</v>
      </c>
      <c r="I1095" s="168" t="s">
        <v>1200</v>
      </c>
      <c r="J1095" s="168" t="s">
        <v>770</v>
      </c>
    </row>
    <row r="1096" spans="2:10" ht="12" x14ac:dyDescent="0.15">
      <c r="B1096" s="121">
        <v>13</v>
      </c>
      <c r="C1096" s="167" t="s">
        <v>70</v>
      </c>
      <c r="D1096" s="168" t="s">
        <v>1454</v>
      </c>
      <c r="E1096" s="168" t="s">
        <v>770</v>
      </c>
      <c r="F1096" s="169" t="s">
        <v>770</v>
      </c>
      <c r="G1096" s="122" t="s">
        <v>770</v>
      </c>
      <c r="H1096" s="170">
        <v>-300000</v>
      </c>
      <c r="I1096" s="168" t="s">
        <v>1200</v>
      </c>
      <c r="J1096" s="168" t="s">
        <v>770</v>
      </c>
    </row>
    <row r="1097" spans="2:10" ht="12" x14ac:dyDescent="0.15">
      <c r="B1097" s="121">
        <v>13</v>
      </c>
      <c r="C1097" s="167" t="s">
        <v>70</v>
      </c>
      <c r="D1097" s="168" t="s">
        <v>1455</v>
      </c>
      <c r="E1097" s="168" t="s">
        <v>770</v>
      </c>
      <c r="F1097" s="169" t="s">
        <v>770</v>
      </c>
      <c r="G1097" s="122" t="s">
        <v>770</v>
      </c>
      <c r="H1097" s="170">
        <v>-100000</v>
      </c>
      <c r="I1097" s="168" t="s">
        <v>1200</v>
      </c>
      <c r="J1097" s="168" t="s">
        <v>770</v>
      </c>
    </row>
    <row r="1098" spans="2:10" ht="12" x14ac:dyDescent="0.15">
      <c r="B1098" s="121">
        <v>13</v>
      </c>
      <c r="C1098" s="167" t="s">
        <v>70</v>
      </c>
      <c r="D1098" s="168" t="s">
        <v>1456</v>
      </c>
      <c r="E1098" s="168" t="s">
        <v>770</v>
      </c>
      <c r="F1098" s="169" t="s">
        <v>770</v>
      </c>
      <c r="G1098" s="122" t="s">
        <v>770</v>
      </c>
      <c r="H1098" s="170">
        <v>-100000</v>
      </c>
      <c r="I1098" s="168" t="s">
        <v>1200</v>
      </c>
      <c r="J1098" s="168" t="s">
        <v>770</v>
      </c>
    </row>
    <row r="1099" spans="2:10" ht="12" x14ac:dyDescent="0.15">
      <c r="B1099" s="121">
        <v>13</v>
      </c>
      <c r="C1099" s="167" t="s">
        <v>70</v>
      </c>
      <c r="D1099" s="168" t="s">
        <v>1457</v>
      </c>
      <c r="E1099" s="168" t="s">
        <v>770</v>
      </c>
      <c r="F1099" s="169" t="s">
        <v>770</v>
      </c>
      <c r="G1099" s="122" t="s">
        <v>770</v>
      </c>
      <c r="H1099" s="170">
        <v>-100000</v>
      </c>
      <c r="I1099" s="168" t="s">
        <v>1200</v>
      </c>
      <c r="J1099" s="168" t="s">
        <v>770</v>
      </c>
    </row>
    <row r="1100" spans="2:10" ht="12" x14ac:dyDescent="0.15">
      <c r="B1100" s="121">
        <v>13</v>
      </c>
      <c r="C1100" s="167" t="s">
        <v>70</v>
      </c>
      <c r="D1100" s="168" t="s">
        <v>1458</v>
      </c>
      <c r="E1100" s="168" t="s">
        <v>770</v>
      </c>
      <c r="F1100" s="169" t="s">
        <v>770</v>
      </c>
      <c r="G1100" s="122" t="s">
        <v>770</v>
      </c>
      <c r="H1100" s="170">
        <v>-100000</v>
      </c>
      <c r="I1100" s="168" t="s">
        <v>1200</v>
      </c>
      <c r="J1100" s="168" t="s">
        <v>770</v>
      </c>
    </row>
    <row r="1101" spans="2:10" ht="12" x14ac:dyDescent="0.15">
      <c r="B1101" s="121">
        <v>13</v>
      </c>
      <c r="C1101" s="167" t="s">
        <v>70</v>
      </c>
      <c r="D1101" s="168" t="s">
        <v>1459</v>
      </c>
      <c r="E1101" s="168" t="s">
        <v>770</v>
      </c>
      <c r="F1101" s="169" t="s">
        <v>770</v>
      </c>
      <c r="G1101" s="122" t="s">
        <v>770</v>
      </c>
      <c r="H1101" s="170">
        <v>1320000</v>
      </c>
      <c r="I1101" s="168" t="s">
        <v>1200</v>
      </c>
      <c r="J1101" s="168" t="s">
        <v>770</v>
      </c>
    </row>
    <row r="1102" spans="2:10" ht="12" x14ac:dyDescent="0.15">
      <c r="B1102" s="121">
        <v>13</v>
      </c>
      <c r="C1102" s="167" t="s">
        <v>70</v>
      </c>
      <c r="D1102" s="168" t="s">
        <v>1460</v>
      </c>
      <c r="E1102" s="168" t="s">
        <v>770</v>
      </c>
      <c r="F1102" s="169" t="s">
        <v>770</v>
      </c>
      <c r="G1102" s="122" t="s">
        <v>770</v>
      </c>
      <c r="H1102" s="170">
        <v>1173000</v>
      </c>
      <c r="I1102" s="168" t="s">
        <v>1200</v>
      </c>
      <c r="J1102" s="168" t="s">
        <v>770</v>
      </c>
    </row>
    <row r="1103" spans="2:10" ht="12" x14ac:dyDescent="0.15">
      <c r="B1103" s="121">
        <v>13</v>
      </c>
      <c r="C1103" s="167" t="s">
        <v>70</v>
      </c>
      <c r="D1103" s="168" t="s">
        <v>1461</v>
      </c>
      <c r="E1103" s="168" t="s">
        <v>770</v>
      </c>
      <c r="F1103" s="169" t="s">
        <v>770</v>
      </c>
      <c r="G1103" s="122" t="s">
        <v>770</v>
      </c>
      <c r="H1103" s="170">
        <v>500000</v>
      </c>
      <c r="I1103" s="168" t="s">
        <v>1200</v>
      </c>
      <c r="J1103" s="168" t="s">
        <v>770</v>
      </c>
    </row>
    <row r="1104" spans="2:10" ht="12" x14ac:dyDescent="0.15">
      <c r="B1104" s="121">
        <v>13</v>
      </c>
      <c r="C1104" s="167" t="s">
        <v>70</v>
      </c>
      <c r="D1104" s="168" t="s">
        <v>1462</v>
      </c>
      <c r="E1104" s="168" t="s">
        <v>770</v>
      </c>
      <c r="F1104" s="169" t="s">
        <v>770</v>
      </c>
      <c r="G1104" s="122" t="s">
        <v>770</v>
      </c>
      <c r="H1104" s="170">
        <v>1173000</v>
      </c>
      <c r="I1104" s="168" t="s">
        <v>1200</v>
      </c>
      <c r="J1104" s="168" t="s">
        <v>770</v>
      </c>
    </row>
    <row r="1105" spans="2:10" ht="12" x14ac:dyDescent="0.15">
      <c r="B1105" s="121">
        <v>13</v>
      </c>
      <c r="C1105" s="167" t="s">
        <v>70</v>
      </c>
      <c r="D1105" s="168" t="s">
        <v>1463</v>
      </c>
      <c r="E1105" s="168" t="s">
        <v>770</v>
      </c>
      <c r="F1105" s="169" t="s">
        <v>770</v>
      </c>
      <c r="G1105" s="122" t="s">
        <v>770</v>
      </c>
      <c r="H1105" s="170">
        <v>440000</v>
      </c>
      <c r="I1105" s="168" t="s">
        <v>1200</v>
      </c>
      <c r="J1105" s="168" t="s">
        <v>770</v>
      </c>
    </row>
    <row r="1106" spans="2:10" ht="12" x14ac:dyDescent="0.15">
      <c r="B1106" s="121">
        <v>13</v>
      </c>
      <c r="C1106" s="167" t="s">
        <v>70</v>
      </c>
      <c r="D1106" s="168" t="s">
        <v>1464</v>
      </c>
      <c r="E1106" s="168" t="s">
        <v>770</v>
      </c>
      <c r="F1106" s="169" t="s">
        <v>770</v>
      </c>
      <c r="G1106" s="122" t="s">
        <v>770</v>
      </c>
      <c r="H1106" s="170">
        <v>391000</v>
      </c>
      <c r="I1106" s="168" t="s">
        <v>1200</v>
      </c>
      <c r="J1106" s="168" t="s">
        <v>770</v>
      </c>
    </row>
    <row r="1107" spans="2:10" ht="12" x14ac:dyDescent="0.15">
      <c r="B1107" s="121">
        <v>13</v>
      </c>
      <c r="C1107" s="167" t="s">
        <v>70</v>
      </c>
      <c r="D1107" s="168" t="s">
        <v>1465</v>
      </c>
      <c r="E1107" s="168" t="s">
        <v>770</v>
      </c>
      <c r="F1107" s="169" t="s">
        <v>770</v>
      </c>
      <c r="G1107" s="122" t="s">
        <v>770</v>
      </c>
      <c r="H1107" s="170">
        <v>391000</v>
      </c>
      <c r="I1107" s="168" t="s">
        <v>1200</v>
      </c>
      <c r="J1107" s="168" t="s">
        <v>770</v>
      </c>
    </row>
    <row r="1108" spans="2:10" ht="12" x14ac:dyDescent="0.15">
      <c r="B1108" s="121">
        <v>13</v>
      </c>
      <c r="C1108" s="167" t="s">
        <v>70</v>
      </c>
      <c r="D1108" s="168" t="s">
        <v>1466</v>
      </c>
      <c r="E1108" s="168" t="s">
        <v>770</v>
      </c>
      <c r="F1108" s="169" t="s">
        <v>770</v>
      </c>
      <c r="G1108" s="122" t="s">
        <v>770</v>
      </c>
      <c r="H1108" s="170">
        <v>782000</v>
      </c>
      <c r="I1108" s="168" t="s">
        <v>1200</v>
      </c>
      <c r="J1108" s="168" t="s">
        <v>770</v>
      </c>
    </row>
    <row r="1109" spans="2:10" ht="12" x14ac:dyDescent="0.15">
      <c r="B1109" s="121">
        <v>13</v>
      </c>
      <c r="C1109" s="167" t="s">
        <v>70</v>
      </c>
      <c r="D1109" s="168" t="s">
        <v>1467</v>
      </c>
      <c r="E1109" s="168" t="s">
        <v>770</v>
      </c>
      <c r="F1109" s="169" t="s">
        <v>770</v>
      </c>
      <c r="G1109" s="122" t="s">
        <v>770</v>
      </c>
      <c r="H1109" s="170">
        <v>250000</v>
      </c>
      <c r="I1109" s="168" t="s">
        <v>1200</v>
      </c>
      <c r="J1109" s="168" t="s">
        <v>770</v>
      </c>
    </row>
    <row r="1110" spans="2:10" ht="12" x14ac:dyDescent="0.15">
      <c r="B1110" s="121">
        <v>13</v>
      </c>
      <c r="C1110" s="167" t="s">
        <v>70</v>
      </c>
      <c r="D1110" s="168" t="s">
        <v>1468</v>
      </c>
      <c r="E1110" s="168" t="s">
        <v>770</v>
      </c>
      <c r="F1110" s="169" t="s">
        <v>770</v>
      </c>
      <c r="G1110" s="122" t="s">
        <v>770</v>
      </c>
      <c r="H1110" s="170">
        <v>440000</v>
      </c>
      <c r="I1110" s="168" t="s">
        <v>1200</v>
      </c>
      <c r="J1110" s="168" t="s">
        <v>770</v>
      </c>
    </row>
    <row r="1111" spans="2:10" ht="12" x14ac:dyDescent="0.15">
      <c r="B1111" s="121">
        <v>13</v>
      </c>
      <c r="C1111" s="167" t="s">
        <v>70</v>
      </c>
      <c r="D1111" s="168" t="s">
        <v>1469</v>
      </c>
      <c r="E1111" s="168" t="s">
        <v>770</v>
      </c>
      <c r="F1111" s="169" t="s">
        <v>770</v>
      </c>
      <c r="G1111" s="122" t="s">
        <v>770</v>
      </c>
      <c r="H1111" s="170">
        <v>391000</v>
      </c>
      <c r="I1111" s="168" t="s">
        <v>1200</v>
      </c>
      <c r="J1111" s="168" t="s">
        <v>770</v>
      </c>
    </row>
    <row r="1112" spans="2:10" ht="12" x14ac:dyDescent="0.15">
      <c r="B1112" s="121">
        <v>13</v>
      </c>
      <c r="C1112" s="167" t="s">
        <v>70</v>
      </c>
      <c r="D1112" s="168" t="s">
        <v>1470</v>
      </c>
      <c r="E1112" s="168" t="s">
        <v>770</v>
      </c>
      <c r="F1112" s="169" t="s">
        <v>770</v>
      </c>
      <c r="G1112" s="122" t="s">
        <v>770</v>
      </c>
      <c r="H1112" s="170">
        <v>391000</v>
      </c>
      <c r="I1112" s="168" t="s">
        <v>1200</v>
      </c>
      <c r="J1112" s="168" t="s">
        <v>770</v>
      </c>
    </row>
    <row r="1113" spans="2:10" ht="12" x14ac:dyDescent="0.15">
      <c r="B1113" s="121">
        <v>13</v>
      </c>
      <c r="C1113" s="167" t="s">
        <v>70</v>
      </c>
      <c r="D1113" s="168" t="s">
        <v>1471</v>
      </c>
      <c r="E1113" s="168" t="s">
        <v>770</v>
      </c>
      <c r="F1113" s="169" t="s">
        <v>770</v>
      </c>
      <c r="G1113" s="122" t="s">
        <v>770</v>
      </c>
      <c r="H1113" s="170">
        <v>782000</v>
      </c>
      <c r="I1113" s="168" t="s">
        <v>1200</v>
      </c>
      <c r="J1113" s="168" t="s">
        <v>770</v>
      </c>
    </row>
    <row r="1114" spans="2:10" ht="12" x14ac:dyDescent="0.15">
      <c r="B1114" s="121">
        <v>13</v>
      </c>
      <c r="C1114" s="167" t="s">
        <v>70</v>
      </c>
      <c r="D1114" s="168" t="s">
        <v>1472</v>
      </c>
      <c r="E1114" s="168" t="s">
        <v>770</v>
      </c>
      <c r="F1114" s="169" t="s">
        <v>770</v>
      </c>
      <c r="G1114" s="122" t="s">
        <v>770</v>
      </c>
      <c r="H1114" s="170">
        <v>250000</v>
      </c>
      <c r="I1114" s="168" t="s">
        <v>1200</v>
      </c>
      <c r="J1114" s="168" t="s">
        <v>770</v>
      </c>
    </row>
    <row r="1115" spans="2:10" ht="12" x14ac:dyDescent="0.15">
      <c r="B1115" s="121">
        <v>13</v>
      </c>
      <c r="C1115" s="167" t="s">
        <v>70</v>
      </c>
      <c r="D1115" s="168" t="s">
        <v>1473</v>
      </c>
      <c r="E1115" s="168" t="s">
        <v>770</v>
      </c>
      <c r="F1115" s="169" t="s">
        <v>770</v>
      </c>
      <c r="G1115" s="122" t="s">
        <v>770</v>
      </c>
      <c r="H1115" s="170">
        <v>200000</v>
      </c>
      <c r="I1115" s="168" t="s">
        <v>1200</v>
      </c>
      <c r="J1115" s="168" t="s">
        <v>770</v>
      </c>
    </row>
    <row r="1116" spans="2:10" ht="12" x14ac:dyDescent="0.15">
      <c r="B1116" s="121">
        <v>13</v>
      </c>
      <c r="C1116" s="167" t="s">
        <v>70</v>
      </c>
      <c r="D1116" s="168" t="s">
        <v>1474</v>
      </c>
      <c r="E1116" s="168" t="s">
        <v>770</v>
      </c>
      <c r="F1116" s="169" t="s">
        <v>770</v>
      </c>
      <c r="G1116" s="122" t="s">
        <v>770</v>
      </c>
      <c r="H1116" s="170">
        <v>50000000</v>
      </c>
      <c r="I1116" s="168" t="s">
        <v>1200</v>
      </c>
      <c r="J1116" s="168" t="s">
        <v>770</v>
      </c>
    </row>
    <row r="1117" spans="2:10" ht="12" x14ac:dyDescent="0.15">
      <c r="B1117" s="121">
        <v>13</v>
      </c>
      <c r="C1117" s="167" t="s">
        <v>70</v>
      </c>
      <c r="D1117" s="168" t="s">
        <v>1475</v>
      </c>
      <c r="E1117" s="168" t="s">
        <v>770</v>
      </c>
      <c r="F1117" s="169" t="s">
        <v>770</v>
      </c>
      <c r="G1117" s="122" t="s">
        <v>770</v>
      </c>
      <c r="H1117" s="170">
        <v>46000000</v>
      </c>
      <c r="I1117" s="168" t="s">
        <v>1200</v>
      </c>
      <c r="J1117" s="168" t="s">
        <v>770</v>
      </c>
    </row>
    <row r="1118" spans="2:10" ht="12" x14ac:dyDescent="0.15">
      <c r="B1118" s="121">
        <v>13</v>
      </c>
      <c r="C1118" s="167" t="s">
        <v>70</v>
      </c>
      <c r="D1118" s="168" t="s">
        <v>1368</v>
      </c>
      <c r="E1118" s="168" t="s">
        <v>770</v>
      </c>
      <c r="F1118" s="169" t="s">
        <v>770</v>
      </c>
      <c r="G1118" s="122" t="s">
        <v>770</v>
      </c>
      <c r="H1118" s="170">
        <v>-2700000</v>
      </c>
      <c r="I1118" s="168" t="s">
        <v>1200</v>
      </c>
      <c r="J1118" s="168" t="s">
        <v>770</v>
      </c>
    </row>
    <row r="1119" spans="2:10" ht="12" x14ac:dyDescent="0.15">
      <c r="B1119" s="121">
        <v>13</v>
      </c>
      <c r="C1119" s="167" t="s">
        <v>70</v>
      </c>
      <c r="D1119" s="168" t="s">
        <v>1367</v>
      </c>
      <c r="E1119" s="168" t="s">
        <v>770</v>
      </c>
      <c r="F1119" s="169" t="s">
        <v>770</v>
      </c>
      <c r="G1119" s="122" t="s">
        <v>770</v>
      </c>
      <c r="H1119" s="170">
        <v>-2700000</v>
      </c>
      <c r="I1119" s="168" t="s">
        <v>1200</v>
      </c>
      <c r="J1119" s="168" t="s">
        <v>770</v>
      </c>
    </row>
    <row r="1120" spans="2:10" ht="12" x14ac:dyDescent="0.15">
      <c r="B1120" s="121">
        <v>13</v>
      </c>
      <c r="C1120" s="167" t="s">
        <v>70</v>
      </c>
      <c r="D1120" s="168" t="s">
        <v>1366</v>
      </c>
      <c r="E1120" s="168" t="s">
        <v>770</v>
      </c>
      <c r="F1120" s="169" t="s">
        <v>770</v>
      </c>
      <c r="G1120" s="122" t="s">
        <v>770</v>
      </c>
      <c r="H1120" s="170">
        <v>-2700000</v>
      </c>
      <c r="I1120" s="168" t="s">
        <v>1200</v>
      </c>
      <c r="J1120" s="168" t="s">
        <v>770</v>
      </c>
    </row>
    <row r="1121" spans="2:10" ht="12" x14ac:dyDescent="0.15">
      <c r="B1121" s="121">
        <v>13</v>
      </c>
      <c r="C1121" s="167" t="s">
        <v>70</v>
      </c>
      <c r="D1121" s="168" t="s">
        <v>1351</v>
      </c>
      <c r="E1121" s="168" t="s">
        <v>770</v>
      </c>
      <c r="F1121" s="169" t="s">
        <v>770</v>
      </c>
      <c r="G1121" s="122" t="s">
        <v>770</v>
      </c>
      <c r="H1121" s="170">
        <v>20000000</v>
      </c>
      <c r="I1121" s="168" t="s">
        <v>1200</v>
      </c>
      <c r="J1121" s="168" t="s">
        <v>770</v>
      </c>
    </row>
    <row r="1122" spans="2:10" ht="12" x14ac:dyDescent="0.15">
      <c r="B1122" s="121">
        <v>13</v>
      </c>
      <c r="C1122" s="167" t="s">
        <v>70</v>
      </c>
      <c r="D1122" s="168" t="s">
        <v>1366</v>
      </c>
      <c r="E1122" s="168" t="s">
        <v>770</v>
      </c>
      <c r="F1122" s="169" t="s">
        <v>770</v>
      </c>
      <c r="G1122" s="122" t="s">
        <v>770</v>
      </c>
      <c r="H1122" s="170">
        <v>2700000</v>
      </c>
      <c r="I1122" s="168" t="s">
        <v>1200</v>
      </c>
      <c r="J1122" s="168" t="s">
        <v>770</v>
      </c>
    </row>
    <row r="1123" spans="2:10" ht="12" x14ac:dyDescent="0.15">
      <c r="B1123" s="121">
        <v>13</v>
      </c>
      <c r="C1123" s="167" t="s">
        <v>70</v>
      </c>
      <c r="D1123" s="168" t="s">
        <v>1367</v>
      </c>
      <c r="E1123" s="168" t="s">
        <v>770</v>
      </c>
      <c r="F1123" s="169" t="s">
        <v>770</v>
      </c>
      <c r="G1123" s="122" t="s">
        <v>770</v>
      </c>
      <c r="H1123" s="170">
        <v>2700000</v>
      </c>
      <c r="I1123" s="168" t="s">
        <v>1200</v>
      </c>
      <c r="J1123" s="168" t="s">
        <v>770</v>
      </c>
    </row>
    <row r="1124" spans="2:10" ht="12" x14ac:dyDescent="0.15">
      <c r="B1124" s="121">
        <v>13</v>
      </c>
      <c r="C1124" s="167" t="s">
        <v>70</v>
      </c>
      <c r="D1124" s="168" t="s">
        <v>1368</v>
      </c>
      <c r="E1124" s="168" t="s">
        <v>770</v>
      </c>
      <c r="F1124" s="169" t="s">
        <v>770</v>
      </c>
      <c r="G1124" s="122" t="s">
        <v>770</v>
      </c>
      <c r="H1124" s="170">
        <v>2700000</v>
      </c>
      <c r="I1124" s="168" t="s">
        <v>1200</v>
      </c>
      <c r="J1124" s="168" t="s">
        <v>770</v>
      </c>
    </row>
    <row r="1125" spans="2:10" ht="12" x14ac:dyDescent="0.15">
      <c r="B1125" s="121">
        <v>13</v>
      </c>
      <c r="C1125" s="167" t="s">
        <v>70</v>
      </c>
      <c r="D1125" s="168" t="s">
        <v>1366</v>
      </c>
      <c r="E1125" s="168" t="s">
        <v>770</v>
      </c>
      <c r="F1125" s="169" t="s">
        <v>770</v>
      </c>
      <c r="G1125" s="122" t="s">
        <v>770</v>
      </c>
      <c r="H1125" s="170">
        <v>2700000</v>
      </c>
      <c r="I1125" s="168" t="s">
        <v>1200</v>
      </c>
      <c r="J1125" s="168" t="s">
        <v>770</v>
      </c>
    </row>
    <row r="1126" spans="2:10" ht="12" x14ac:dyDescent="0.15">
      <c r="B1126" s="121">
        <v>13</v>
      </c>
      <c r="C1126" s="167" t="s">
        <v>70</v>
      </c>
      <c r="D1126" s="168" t="s">
        <v>1367</v>
      </c>
      <c r="E1126" s="168" t="s">
        <v>770</v>
      </c>
      <c r="F1126" s="169" t="s">
        <v>770</v>
      </c>
      <c r="G1126" s="122" t="s">
        <v>770</v>
      </c>
      <c r="H1126" s="170">
        <v>2700000</v>
      </c>
      <c r="I1126" s="168" t="s">
        <v>1200</v>
      </c>
      <c r="J1126" s="168" t="s">
        <v>770</v>
      </c>
    </row>
    <row r="1127" spans="2:10" ht="12" x14ac:dyDescent="0.15">
      <c r="B1127" s="121">
        <v>13</v>
      </c>
      <c r="C1127" s="167" t="s">
        <v>70</v>
      </c>
      <c r="D1127" s="168" t="s">
        <v>1368</v>
      </c>
      <c r="E1127" s="168" t="s">
        <v>770</v>
      </c>
      <c r="F1127" s="169" t="s">
        <v>770</v>
      </c>
      <c r="G1127" s="122" t="s">
        <v>770</v>
      </c>
      <c r="H1127" s="170">
        <v>2700000</v>
      </c>
      <c r="I1127" s="168" t="s">
        <v>1200</v>
      </c>
      <c r="J1127" s="168" t="s">
        <v>770</v>
      </c>
    </row>
    <row r="1128" spans="2:10" ht="12" x14ac:dyDescent="0.15">
      <c r="B1128" s="121">
        <v>13</v>
      </c>
      <c r="C1128" s="167" t="s">
        <v>70</v>
      </c>
      <c r="D1128" s="168" t="s">
        <v>1365</v>
      </c>
      <c r="E1128" s="168" t="s">
        <v>770</v>
      </c>
      <c r="F1128" s="169" t="s">
        <v>770</v>
      </c>
      <c r="G1128" s="122" t="s">
        <v>770</v>
      </c>
      <c r="H1128" s="170">
        <v>300000000</v>
      </c>
      <c r="I1128" s="168" t="s">
        <v>1200</v>
      </c>
      <c r="J1128" s="168" t="s">
        <v>770</v>
      </c>
    </row>
    <row r="1129" spans="2:10" ht="12" x14ac:dyDescent="0.15">
      <c r="B1129" s="121">
        <v>13</v>
      </c>
      <c r="C1129" s="167" t="s">
        <v>70</v>
      </c>
      <c r="D1129" s="168" t="s">
        <v>1476</v>
      </c>
      <c r="E1129" s="168" t="s">
        <v>770</v>
      </c>
      <c r="F1129" s="169" t="s">
        <v>770</v>
      </c>
      <c r="G1129" s="122" t="s">
        <v>770</v>
      </c>
      <c r="H1129" s="170">
        <v>-18000000</v>
      </c>
      <c r="I1129" s="168" t="s">
        <v>1200</v>
      </c>
      <c r="J1129" s="168" t="s">
        <v>770</v>
      </c>
    </row>
    <row r="1130" spans="2:10" ht="12" x14ac:dyDescent="0.15">
      <c r="B1130" s="121">
        <v>13</v>
      </c>
      <c r="C1130" s="167" t="s">
        <v>70</v>
      </c>
      <c r="D1130" s="168" t="s">
        <v>1477</v>
      </c>
      <c r="E1130" s="168" t="s">
        <v>770</v>
      </c>
      <c r="F1130" s="169" t="s">
        <v>770</v>
      </c>
      <c r="G1130" s="122" t="s">
        <v>770</v>
      </c>
      <c r="H1130" s="170">
        <v>-19080000</v>
      </c>
      <c r="I1130" s="168" t="s">
        <v>1200</v>
      </c>
      <c r="J1130" s="168" t="s">
        <v>770</v>
      </c>
    </row>
    <row r="1131" spans="2:10" ht="12" x14ac:dyDescent="0.15">
      <c r="B1131" s="121">
        <v>13</v>
      </c>
      <c r="C1131" s="167" t="s">
        <v>70</v>
      </c>
      <c r="D1131" s="168" t="s">
        <v>1478</v>
      </c>
      <c r="E1131" s="168" t="s">
        <v>770</v>
      </c>
      <c r="F1131" s="169" t="s">
        <v>770</v>
      </c>
      <c r="G1131" s="122" t="s">
        <v>770</v>
      </c>
      <c r="H1131" s="170">
        <v>-51672000</v>
      </c>
      <c r="I1131" s="168" t="s">
        <v>1200</v>
      </c>
      <c r="J1131" s="168" t="s">
        <v>770</v>
      </c>
    </row>
    <row r="1132" spans="2:10" ht="12" x14ac:dyDescent="0.15">
      <c r="B1132" s="121">
        <v>13</v>
      </c>
      <c r="C1132" s="167" t="s">
        <v>70</v>
      </c>
      <c r="D1132" s="168" t="s">
        <v>1479</v>
      </c>
      <c r="E1132" s="168" t="s">
        <v>770</v>
      </c>
      <c r="F1132" s="169" t="s">
        <v>770</v>
      </c>
      <c r="G1132" s="122" t="s">
        <v>770</v>
      </c>
      <c r="H1132" s="170">
        <v>20000000</v>
      </c>
      <c r="I1132" s="168" t="s">
        <v>1200</v>
      </c>
      <c r="J1132" s="168" t="s">
        <v>770</v>
      </c>
    </row>
    <row r="1133" spans="2:10" ht="12" x14ac:dyDescent="0.15">
      <c r="B1133" s="121">
        <v>13</v>
      </c>
      <c r="C1133" s="167" t="s">
        <v>70</v>
      </c>
      <c r="D1133" s="168" t="s">
        <v>1371</v>
      </c>
      <c r="E1133" s="168" t="s">
        <v>770</v>
      </c>
      <c r="F1133" s="169" t="s">
        <v>770</v>
      </c>
      <c r="G1133" s="122" t="s">
        <v>770</v>
      </c>
      <c r="H1133" s="170">
        <v>10800000</v>
      </c>
      <c r="I1133" s="168" t="s">
        <v>1200</v>
      </c>
      <c r="J1133" s="168" t="s">
        <v>770</v>
      </c>
    </row>
    <row r="1134" spans="2:10" ht="12" x14ac:dyDescent="0.15">
      <c r="B1134" s="121">
        <v>13</v>
      </c>
      <c r="C1134" s="167" t="s">
        <v>70</v>
      </c>
      <c r="D1134" s="168" t="s">
        <v>1372</v>
      </c>
      <c r="E1134" s="168" t="s">
        <v>770</v>
      </c>
      <c r="F1134" s="169" t="s">
        <v>770</v>
      </c>
      <c r="G1134" s="122" t="s">
        <v>770</v>
      </c>
      <c r="H1134" s="170">
        <v>18000000</v>
      </c>
      <c r="I1134" s="168" t="s">
        <v>1200</v>
      </c>
      <c r="J1134" s="168" t="s">
        <v>770</v>
      </c>
    </row>
    <row r="1135" spans="2:10" ht="12" x14ac:dyDescent="0.15">
      <c r="B1135" s="121">
        <v>13</v>
      </c>
      <c r="C1135" s="167" t="s">
        <v>70</v>
      </c>
      <c r="D1135" s="168" t="s">
        <v>1373</v>
      </c>
      <c r="E1135" s="168" t="s">
        <v>770</v>
      </c>
      <c r="F1135" s="169" t="s">
        <v>770</v>
      </c>
      <c r="G1135" s="122" t="s">
        <v>770</v>
      </c>
      <c r="H1135" s="170">
        <v>29523000</v>
      </c>
      <c r="I1135" s="168" t="s">
        <v>1200</v>
      </c>
      <c r="J1135" s="168" t="s">
        <v>770</v>
      </c>
    </row>
    <row r="1136" spans="2:10" ht="12" x14ac:dyDescent="0.15">
      <c r="B1136" s="121">
        <v>13</v>
      </c>
      <c r="C1136" s="167" t="s">
        <v>70</v>
      </c>
      <c r="D1136" s="168" t="s">
        <v>1374</v>
      </c>
      <c r="E1136" s="168" t="s">
        <v>770</v>
      </c>
      <c r="F1136" s="169" t="s">
        <v>770</v>
      </c>
      <c r="G1136" s="122" t="s">
        <v>770</v>
      </c>
      <c r="H1136" s="170">
        <v>4460000</v>
      </c>
      <c r="I1136" s="168" t="s">
        <v>1200</v>
      </c>
      <c r="J1136" s="168" t="s">
        <v>770</v>
      </c>
    </row>
    <row r="1137" spans="2:10" ht="12" x14ac:dyDescent="0.15">
      <c r="B1137" s="121">
        <v>13</v>
      </c>
      <c r="C1137" s="167" t="s">
        <v>70</v>
      </c>
      <c r="D1137" s="168" t="s">
        <v>1480</v>
      </c>
      <c r="E1137" s="168" t="s">
        <v>770</v>
      </c>
      <c r="F1137" s="169" t="s">
        <v>770</v>
      </c>
      <c r="G1137" s="122" t="s">
        <v>770</v>
      </c>
      <c r="H1137" s="170">
        <v>20000000</v>
      </c>
      <c r="I1137" s="168" t="s">
        <v>1200</v>
      </c>
      <c r="J1137" s="168" t="s">
        <v>770</v>
      </c>
    </row>
    <row r="1138" spans="2:10" ht="12" x14ac:dyDescent="0.15">
      <c r="B1138" s="121">
        <v>13</v>
      </c>
      <c r="C1138" s="167" t="s">
        <v>70</v>
      </c>
      <c r="D1138" s="168" t="s">
        <v>1481</v>
      </c>
      <c r="E1138" s="168" t="s">
        <v>770</v>
      </c>
      <c r="F1138" s="169" t="s">
        <v>770</v>
      </c>
      <c r="G1138" s="122" t="s">
        <v>770</v>
      </c>
      <c r="H1138" s="170">
        <v>-20000000</v>
      </c>
      <c r="I1138" s="168" t="s">
        <v>1200</v>
      </c>
      <c r="J1138" s="168" t="s">
        <v>770</v>
      </c>
    </row>
    <row r="1139" spans="2:10" ht="12" x14ac:dyDescent="0.15">
      <c r="B1139" s="121">
        <v>13</v>
      </c>
      <c r="C1139" s="167" t="s">
        <v>70</v>
      </c>
      <c r="D1139" s="168" t="s">
        <v>770</v>
      </c>
      <c r="E1139" s="168" t="s">
        <v>770</v>
      </c>
      <c r="F1139" s="169" t="s">
        <v>770</v>
      </c>
      <c r="G1139" s="122" t="s">
        <v>770</v>
      </c>
      <c r="H1139" s="170">
        <v>-2230000</v>
      </c>
      <c r="I1139" s="168" t="s">
        <v>1200</v>
      </c>
      <c r="J1139" s="168" t="s">
        <v>770</v>
      </c>
    </row>
    <row r="1140" spans="2:10" ht="12" x14ac:dyDescent="0.15">
      <c r="B1140" s="121">
        <v>13</v>
      </c>
      <c r="C1140" s="167" t="s">
        <v>70</v>
      </c>
      <c r="D1140" s="168" t="s">
        <v>1211</v>
      </c>
      <c r="E1140" s="168" t="s">
        <v>770</v>
      </c>
      <c r="F1140" s="169" t="s">
        <v>770</v>
      </c>
      <c r="G1140" s="122" t="s">
        <v>770</v>
      </c>
      <c r="H1140" s="170">
        <v>25800000</v>
      </c>
      <c r="I1140" s="168" t="s">
        <v>1200</v>
      </c>
      <c r="J1140" s="168" t="s">
        <v>770</v>
      </c>
    </row>
    <row r="1141" spans="2:10" ht="12" x14ac:dyDescent="0.15">
      <c r="B1141" s="121">
        <v>13</v>
      </c>
      <c r="C1141" s="167" t="s">
        <v>70</v>
      </c>
      <c r="D1141" s="168" t="s">
        <v>1211</v>
      </c>
      <c r="E1141" s="168" t="s">
        <v>770</v>
      </c>
      <c r="F1141" s="169" t="s">
        <v>770</v>
      </c>
      <c r="G1141" s="122" t="s">
        <v>770</v>
      </c>
      <c r="H1141" s="170">
        <v>20000000</v>
      </c>
      <c r="I1141" s="168" t="s">
        <v>1200</v>
      </c>
      <c r="J1141" s="168" t="s">
        <v>770</v>
      </c>
    </row>
    <row r="1142" spans="2:10" ht="12" x14ac:dyDescent="0.15">
      <c r="B1142" s="121">
        <v>13</v>
      </c>
      <c r="C1142" s="167" t="s">
        <v>70</v>
      </c>
      <c r="D1142" s="168" t="s">
        <v>1212</v>
      </c>
      <c r="E1142" s="168" t="s">
        <v>770</v>
      </c>
      <c r="F1142" s="169" t="s">
        <v>770</v>
      </c>
      <c r="G1142" s="122" t="s">
        <v>770</v>
      </c>
      <c r="H1142" s="170">
        <v>4460000</v>
      </c>
      <c r="I1142" s="168" t="s">
        <v>1200</v>
      </c>
      <c r="J1142" s="168" t="s">
        <v>770</v>
      </c>
    </row>
    <row r="1143" spans="2:10" ht="12" x14ac:dyDescent="0.15">
      <c r="B1143" s="121">
        <v>13</v>
      </c>
      <c r="C1143" s="167" t="s">
        <v>70</v>
      </c>
      <c r="D1143" s="168" t="s">
        <v>770</v>
      </c>
      <c r="E1143" s="168" t="s">
        <v>770</v>
      </c>
      <c r="F1143" s="169" t="s">
        <v>770</v>
      </c>
      <c r="G1143" s="122" t="s">
        <v>770</v>
      </c>
      <c r="H1143" s="170">
        <v>2230000</v>
      </c>
      <c r="I1143" s="168" t="s">
        <v>1200</v>
      </c>
      <c r="J1143" s="168" t="s">
        <v>770</v>
      </c>
    </row>
    <row r="1144" spans="2:10" ht="12" x14ac:dyDescent="0.15">
      <c r="B1144" s="121">
        <v>13</v>
      </c>
      <c r="C1144" s="167" t="s">
        <v>70</v>
      </c>
      <c r="D1144" s="168" t="s">
        <v>1213</v>
      </c>
      <c r="E1144" s="168" t="s">
        <v>770</v>
      </c>
      <c r="F1144" s="169" t="s">
        <v>770</v>
      </c>
      <c r="G1144" s="122" t="s">
        <v>770</v>
      </c>
      <c r="H1144" s="170">
        <v>6000000</v>
      </c>
      <c r="I1144" s="168" t="s">
        <v>1200</v>
      </c>
      <c r="J1144" s="168" t="s">
        <v>770</v>
      </c>
    </row>
    <row r="1145" spans="2:10" ht="12" x14ac:dyDescent="0.15">
      <c r="B1145" s="121">
        <v>13</v>
      </c>
      <c r="C1145" s="167" t="s">
        <v>70</v>
      </c>
      <c r="D1145" s="168" t="s">
        <v>1214</v>
      </c>
      <c r="E1145" s="168" t="s">
        <v>770</v>
      </c>
      <c r="F1145" s="169" t="s">
        <v>770</v>
      </c>
      <c r="G1145" s="122" t="s">
        <v>770</v>
      </c>
      <c r="H1145" s="170">
        <v>4500000</v>
      </c>
      <c r="I1145" s="168" t="s">
        <v>1200</v>
      </c>
      <c r="J1145" s="168" t="s">
        <v>770</v>
      </c>
    </row>
    <row r="1146" spans="2:10" ht="12" x14ac:dyDescent="0.15">
      <c r="B1146" s="121">
        <v>13</v>
      </c>
      <c r="C1146" s="167" t="s">
        <v>70</v>
      </c>
      <c r="D1146" s="168" t="s">
        <v>1246</v>
      </c>
      <c r="E1146" s="168" t="s">
        <v>770</v>
      </c>
      <c r="F1146" s="169" t="s">
        <v>770</v>
      </c>
      <c r="G1146" s="122" t="s">
        <v>770</v>
      </c>
      <c r="H1146" s="170">
        <v>140009278</v>
      </c>
      <c r="I1146" s="168" t="s">
        <v>1200</v>
      </c>
      <c r="J1146" s="168" t="s">
        <v>770</v>
      </c>
    </row>
    <row r="1147" spans="2:10" ht="12" x14ac:dyDescent="0.15">
      <c r="B1147" s="121">
        <v>13</v>
      </c>
      <c r="C1147" s="167" t="s">
        <v>70</v>
      </c>
      <c r="D1147" s="168" t="s">
        <v>1216</v>
      </c>
      <c r="E1147" s="168" t="s">
        <v>770</v>
      </c>
      <c r="F1147" s="169" t="s">
        <v>770</v>
      </c>
      <c r="G1147" s="122" t="s">
        <v>770</v>
      </c>
      <c r="H1147" s="170">
        <v>20000000</v>
      </c>
      <c r="I1147" s="168" t="s">
        <v>1200</v>
      </c>
      <c r="J1147" s="168" t="s">
        <v>770</v>
      </c>
    </row>
    <row r="1148" spans="2:10" ht="12" x14ac:dyDescent="0.15">
      <c r="B1148" s="121">
        <v>13</v>
      </c>
      <c r="C1148" s="167" t="s">
        <v>70</v>
      </c>
      <c r="D1148" s="168" t="s">
        <v>1361</v>
      </c>
      <c r="E1148" s="168" t="s">
        <v>770</v>
      </c>
      <c r="F1148" s="169" t="s">
        <v>770</v>
      </c>
      <c r="G1148" s="122" t="s">
        <v>770</v>
      </c>
      <c r="H1148" s="170">
        <v>20000000</v>
      </c>
      <c r="I1148" s="168" t="s">
        <v>1200</v>
      </c>
      <c r="J1148" s="168" t="s">
        <v>770</v>
      </c>
    </row>
    <row r="1149" spans="2:10" ht="12" x14ac:dyDescent="0.15">
      <c r="B1149" s="121">
        <v>13</v>
      </c>
      <c r="C1149" s="167" t="s">
        <v>70</v>
      </c>
      <c r="D1149" s="168" t="s">
        <v>1413</v>
      </c>
      <c r="E1149" s="168" t="s">
        <v>770</v>
      </c>
      <c r="F1149" s="169" t="s">
        <v>770</v>
      </c>
      <c r="G1149" s="122" t="s">
        <v>770</v>
      </c>
      <c r="H1149" s="170">
        <v>-2700000</v>
      </c>
      <c r="I1149" s="168" t="s">
        <v>1200</v>
      </c>
      <c r="J1149" s="168" t="s">
        <v>770</v>
      </c>
    </row>
    <row r="1150" spans="2:10" ht="12" x14ac:dyDescent="0.15">
      <c r="B1150" s="121">
        <v>13</v>
      </c>
      <c r="C1150" s="167" t="s">
        <v>70</v>
      </c>
      <c r="D1150" s="168" t="s">
        <v>1414</v>
      </c>
      <c r="E1150" s="168" t="s">
        <v>770</v>
      </c>
      <c r="F1150" s="169" t="s">
        <v>770</v>
      </c>
      <c r="G1150" s="122" t="s">
        <v>770</v>
      </c>
      <c r="H1150" s="170">
        <v>-2700000</v>
      </c>
      <c r="I1150" s="168" t="s">
        <v>1200</v>
      </c>
      <c r="J1150" s="168" t="s">
        <v>770</v>
      </c>
    </row>
    <row r="1151" spans="2:10" ht="12" x14ac:dyDescent="0.15">
      <c r="B1151" s="121">
        <v>13</v>
      </c>
      <c r="C1151" s="167" t="s">
        <v>70</v>
      </c>
      <c r="D1151" s="168" t="s">
        <v>1415</v>
      </c>
      <c r="E1151" s="168" t="s">
        <v>770</v>
      </c>
      <c r="F1151" s="169" t="s">
        <v>770</v>
      </c>
      <c r="G1151" s="122" t="s">
        <v>770</v>
      </c>
      <c r="H1151" s="170">
        <v>-2700000</v>
      </c>
      <c r="I1151" s="168" t="s">
        <v>1200</v>
      </c>
      <c r="J1151" s="168" t="s">
        <v>770</v>
      </c>
    </row>
    <row r="1152" spans="2:10" ht="12" x14ac:dyDescent="0.15">
      <c r="B1152" s="121">
        <v>13</v>
      </c>
      <c r="C1152" s="167" t="s">
        <v>70</v>
      </c>
      <c r="D1152" s="168" t="s">
        <v>1217</v>
      </c>
      <c r="E1152" s="168" t="s">
        <v>770</v>
      </c>
      <c r="F1152" s="169" t="s">
        <v>770</v>
      </c>
      <c r="G1152" s="122" t="s">
        <v>770</v>
      </c>
      <c r="H1152" s="170">
        <v>2700000</v>
      </c>
      <c r="I1152" s="168" t="s">
        <v>1200</v>
      </c>
      <c r="J1152" s="168" t="s">
        <v>770</v>
      </c>
    </row>
    <row r="1153" spans="2:10" ht="12" x14ac:dyDescent="0.15">
      <c r="B1153" s="121">
        <v>13</v>
      </c>
      <c r="C1153" s="167" t="s">
        <v>70</v>
      </c>
      <c r="D1153" s="168" t="s">
        <v>1218</v>
      </c>
      <c r="E1153" s="168" t="s">
        <v>770</v>
      </c>
      <c r="F1153" s="169" t="s">
        <v>770</v>
      </c>
      <c r="G1153" s="122" t="s">
        <v>770</v>
      </c>
      <c r="H1153" s="170">
        <v>2700000</v>
      </c>
      <c r="I1153" s="168" t="s">
        <v>1200</v>
      </c>
      <c r="J1153" s="168" t="s">
        <v>770</v>
      </c>
    </row>
    <row r="1154" spans="2:10" ht="12" x14ac:dyDescent="0.15">
      <c r="B1154" s="121">
        <v>13</v>
      </c>
      <c r="C1154" s="167" t="s">
        <v>70</v>
      </c>
      <c r="D1154" s="168" t="s">
        <v>1219</v>
      </c>
      <c r="E1154" s="168" t="s">
        <v>770</v>
      </c>
      <c r="F1154" s="169" t="s">
        <v>770</v>
      </c>
      <c r="G1154" s="122" t="s">
        <v>770</v>
      </c>
      <c r="H1154" s="170">
        <v>2700000</v>
      </c>
      <c r="I1154" s="168" t="s">
        <v>1200</v>
      </c>
      <c r="J1154" s="168" t="s">
        <v>770</v>
      </c>
    </row>
    <row r="1155" spans="2:10" ht="12" x14ac:dyDescent="0.15">
      <c r="B1155" s="121">
        <v>13</v>
      </c>
      <c r="C1155" s="167" t="s">
        <v>70</v>
      </c>
      <c r="D1155" s="168" t="s">
        <v>1221</v>
      </c>
      <c r="E1155" s="168" t="s">
        <v>770</v>
      </c>
      <c r="F1155" s="169" t="s">
        <v>770</v>
      </c>
      <c r="G1155" s="122" t="s">
        <v>770</v>
      </c>
      <c r="H1155" s="170">
        <v>1458000</v>
      </c>
      <c r="I1155" s="168" t="s">
        <v>1200</v>
      </c>
      <c r="J1155" s="168" t="s">
        <v>770</v>
      </c>
    </row>
    <row r="1156" spans="2:10" ht="12" x14ac:dyDescent="0.15">
      <c r="B1156" s="121">
        <v>13</v>
      </c>
      <c r="C1156" s="167" t="s">
        <v>70</v>
      </c>
      <c r="D1156" s="168" t="s">
        <v>1222</v>
      </c>
      <c r="E1156" s="168" t="s">
        <v>770</v>
      </c>
      <c r="F1156" s="169" t="s">
        <v>770</v>
      </c>
      <c r="G1156" s="122" t="s">
        <v>770</v>
      </c>
      <c r="H1156" s="170">
        <v>1458000</v>
      </c>
      <c r="I1156" s="168" t="s">
        <v>1200</v>
      </c>
      <c r="J1156" s="168" t="s">
        <v>770</v>
      </c>
    </row>
    <row r="1157" spans="2:10" ht="12" x14ac:dyDescent="0.15">
      <c r="B1157" s="121">
        <v>13</v>
      </c>
      <c r="C1157" s="167" t="s">
        <v>70</v>
      </c>
      <c r="D1157" s="168" t="s">
        <v>1223</v>
      </c>
      <c r="E1157" s="168" t="s">
        <v>770</v>
      </c>
      <c r="F1157" s="169" t="s">
        <v>770</v>
      </c>
      <c r="G1157" s="122" t="s">
        <v>770</v>
      </c>
      <c r="H1157" s="170">
        <v>1458000</v>
      </c>
      <c r="I1157" s="168" t="s">
        <v>1200</v>
      </c>
      <c r="J1157" s="168" t="s">
        <v>770</v>
      </c>
    </row>
    <row r="1158" spans="2:10" ht="12" x14ac:dyDescent="0.15">
      <c r="B1158" s="121">
        <v>13</v>
      </c>
      <c r="C1158" s="167" t="s">
        <v>70</v>
      </c>
      <c r="D1158" s="168" t="s">
        <v>1211</v>
      </c>
      <c r="E1158" s="168" t="s">
        <v>770</v>
      </c>
      <c r="F1158" s="169" t="s">
        <v>770</v>
      </c>
      <c r="G1158" s="122" t="s">
        <v>770</v>
      </c>
      <c r="H1158" s="170">
        <v>1458000</v>
      </c>
      <c r="I1158" s="168" t="s">
        <v>1200</v>
      </c>
      <c r="J1158" s="168" t="s">
        <v>770</v>
      </c>
    </row>
    <row r="1159" spans="2:10" ht="12" x14ac:dyDescent="0.15">
      <c r="B1159" s="121">
        <v>13</v>
      </c>
      <c r="C1159" s="167" t="s">
        <v>70</v>
      </c>
      <c r="D1159" s="168" t="s">
        <v>1224</v>
      </c>
      <c r="E1159" s="168" t="s">
        <v>770</v>
      </c>
      <c r="F1159" s="169" t="s">
        <v>770</v>
      </c>
      <c r="G1159" s="122" t="s">
        <v>770</v>
      </c>
      <c r="H1159" s="170">
        <v>6445000</v>
      </c>
      <c r="I1159" s="168" t="s">
        <v>1200</v>
      </c>
      <c r="J1159" s="168" t="s">
        <v>770</v>
      </c>
    </row>
    <row r="1160" spans="2:10" ht="12" x14ac:dyDescent="0.15">
      <c r="B1160" s="121">
        <v>13</v>
      </c>
      <c r="C1160" s="167" t="s">
        <v>70</v>
      </c>
      <c r="D1160" s="168" t="s">
        <v>1224</v>
      </c>
      <c r="E1160" s="168" t="s">
        <v>770</v>
      </c>
      <c r="F1160" s="169" t="s">
        <v>770</v>
      </c>
      <c r="G1160" s="122" t="s">
        <v>770</v>
      </c>
      <c r="H1160" s="170">
        <v>8240000</v>
      </c>
      <c r="I1160" s="168" t="s">
        <v>1200</v>
      </c>
      <c r="J1160" s="168" t="s">
        <v>770</v>
      </c>
    </row>
    <row r="1161" spans="2:10" ht="12" x14ac:dyDescent="0.15">
      <c r="B1161" s="121">
        <v>13</v>
      </c>
      <c r="C1161" s="167" t="s">
        <v>70</v>
      </c>
      <c r="D1161" s="168" t="s">
        <v>1226</v>
      </c>
      <c r="E1161" s="168" t="s">
        <v>770</v>
      </c>
      <c r="F1161" s="169" t="s">
        <v>770</v>
      </c>
      <c r="G1161" s="122" t="s">
        <v>770</v>
      </c>
      <c r="H1161" s="170">
        <v>2700000</v>
      </c>
      <c r="I1161" s="168" t="s">
        <v>1200</v>
      </c>
      <c r="J1161" s="168" t="s">
        <v>770</v>
      </c>
    </row>
    <row r="1162" spans="2:10" ht="12" x14ac:dyDescent="0.15">
      <c r="B1162" s="121">
        <v>13</v>
      </c>
      <c r="C1162" s="167" t="s">
        <v>70</v>
      </c>
      <c r="D1162" s="168" t="s">
        <v>1227</v>
      </c>
      <c r="E1162" s="168" t="s">
        <v>770</v>
      </c>
      <c r="F1162" s="169" t="s">
        <v>770</v>
      </c>
      <c r="G1162" s="122" t="s">
        <v>770</v>
      </c>
      <c r="H1162" s="170">
        <v>2700000</v>
      </c>
      <c r="I1162" s="168" t="s">
        <v>1200</v>
      </c>
      <c r="J1162" s="168" t="s">
        <v>770</v>
      </c>
    </row>
    <row r="1163" spans="2:10" ht="12" x14ac:dyDescent="0.15">
      <c r="B1163" s="121">
        <v>13</v>
      </c>
      <c r="C1163" s="167" t="s">
        <v>70</v>
      </c>
      <c r="D1163" s="168" t="s">
        <v>1482</v>
      </c>
      <c r="E1163" s="168" t="s">
        <v>770</v>
      </c>
      <c r="F1163" s="169" t="s">
        <v>770</v>
      </c>
      <c r="G1163" s="122" t="s">
        <v>770</v>
      </c>
      <c r="H1163" s="170">
        <v>-20000000</v>
      </c>
      <c r="I1163" s="168" t="s">
        <v>1200</v>
      </c>
      <c r="J1163" s="168" t="s">
        <v>770</v>
      </c>
    </row>
    <row r="1164" spans="2:10" ht="12" x14ac:dyDescent="0.15">
      <c r="B1164" s="121">
        <v>13</v>
      </c>
      <c r="C1164" s="167" t="s">
        <v>70</v>
      </c>
      <c r="D1164" s="168" t="s">
        <v>1483</v>
      </c>
      <c r="E1164" s="168" t="s">
        <v>770</v>
      </c>
      <c r="F1164" s="169" t="s">
        <v>770</v>
      </c>
      <c r="G1164" s="122" t="s">
        <v>770</v>
      </c>
      <c r="H1164" s="170">
        <v>450000</v>
      </c>
      <c r="I1164" s="168" t="s">
        <v>1200</v>
      </c>
      <c r="J1164" s="168" t="s">
        <v>770</v>
      </c>
    </row>
    <row r="1165" spans="2:10" ht="12" x14ac:dyDescent="0.15">
      <c r="B1165" s="121">
        <v>13</v>
      </c>
      <c r="C1165" s="167" t="s">
        <v>70</v>
      </c>
      <c r="D1165" s="168" t="s">
        <v>1483</v>
      </c>
      <c r="E1165" s="168" t="s">
        <v>770</v>
      </c>
      <c r="F1165" s="169" t="s">
        <v>770</v>
      </c>
      <c r="G1165" s="122" t="s">
        <v>770</v>
      </c>
      <c r="H1165" s="170">
        <v>450000</v>
      </c>
      <c r="I1165" s="168" t="s">
        <v>1200</v>
      </c>
      <c r="J1165" s="168" t="s">
        <v>770</v>
      </c>
    </row>
    <row r="1166" spans="2:10" ht="12" x14ac:dyDescent="0.15">
      <c r="B1166" s="121">
        <v>13</v>
      </c>
      <c r="C1166" s="167" t="s">
        <v>70</v>
      </c>
      <c r="D1166" s="168" t="s">
        <v>1484</v>
      </c>
      <c r="E1166" s="168" t="s">
        <v>770</v>
      </c>
      <c r="F1166" s="169" t="s">
        <v>770</v>
      </c>
      <c r="G1166" s="122" t="s">
        <v>770</v>
      </c>
      <c r="H1166" s="170">
        <v>225000</v>
      </c>
      <c r="I1166" s="168" t="s">
        <v>1200</v>
      </c>
      <c r="J1166" s="168" t="s">
        <v>770</v>
      </c>
    </row>
    <row r="1167" spans="2:10" ht="12" x14ac:dyDescent="0.15">
      <c r="B1167" s="121">
        <v>13</v>
      </c>
      <c r="C1167" s="167" t="s">
        <v>70</v>
      </c>
      <c r="D1167" s="168" t="s">
        <v>1485</v>
      </c>
      <c r="E1167" s="168" t="s">
        <v>770</v>
      </c>
      <c r="F1167" s="169" t="s">
        <v>770</v>
      </c>
      <c r="G1167" s="122" t="s">
        <v>770</v>
      </c>
      <c r="H1167" s="170">
        <v>2700000</v>
      </c>
      <c r="I1167" s="168" t="s">
        <v>1200</v>
      </c>
      <c r="J1167" s="168" t="s">
        <v>770</v>
      </c>
    </row>
    <row r="1168" spans="2:10" ht="12" x14ac:dyDescent="0.15">
      <c r="B1168" s="121">
        <v>13</v>
      </c>
      <c r="C1168" s="167" t="s">
        <v>70</v>
      </c>
      <c r="D1168" s="168" t="s">
        <v>1483</v>
      </c>
      <c r="E1168" s="168" t="s">
        <v>770</v>
      </c>
      <c r="F1168" s="169" t="s">
        <v>770</v>
      </c>
      <c r="G1168" s="122" t="s">
        <v>770</v>
      </c>
      <c r="H1168" s="170">
        <v>-450000</v>
      </c>
      <c r="I1168" s="168" t="s">
        <v>1200</v>
      </c>
      <c r="J1168" s="168" t="s">
        <v>770</v>
      </c>
    </row>
    <row r="1169" spans="2:10" ht="12" x14ac:dyDescent="0.15">
      <c r="B1169" s="121">
        <v>13</v>
      </c>
      <c r="C1169" s="167" t="s">
        <v>70</v>
      </c>
      <c r="D1169" s="168" t="s">
        <v>1483</v>
      </c>
      <c r="E1169" s="168" t="s">
        <v>770</v>
      </c>
      <c r="F1169" s="169" t="s">
        <v>770</v>
      </c>
      <c r="G1169" s="122" t="s">
        <v>770</v>
      </c>
      <c r="H1169" s="170">
        <v>-450000</v>
      </c>
      <c r="I1169" s="168" t="s">
        <v>1200</v>
      </c>
      <c r="J1169" s="168" t="s">
        <v>770</v>
      </c>
    </row>
    <row r="1170" spans="2:10" ht="12" x14ac:dyDescent="0.15">
      <c r="B1170" s="121">
        <v>13</v>
      </c>
      <c r="C1170" s="167" t="s">
        <v>70</v>
      </c>
      <c r="D1170" s="168" t="s">
        <v>1484</v>
      </c>
      <c r="E1170" s="168" t="s">
        <v>770</v>
      </c>
      <c r="F1170" s="169" t="s">
        <v>770</v>
      </c>
      <c r="G1170" s="122" t="s">
        <v>770</v>
      </c>
      <c r="H1170" s="170">
        <v>-225000</v>
      </c>
      <c r="I1170" s="168" t="s">
        <v>1200</v>
      </c>
      <c r="J1170" s="168" t="s">
        <v>770</v>
      </c>
    </row>
    <row r="1171" spans="2:10" ht="12" x14ac:dyDescent="0.15">
      <c r="B1171" s="121">
        <v>13</v>
      </c>
      <c r="C1171" s="167" t="s">
        <v>70</v>
      </c>
      <c r="D1171" s="168" t="s">
        <v>1485</v>
      </c>
      <c r="E1171" s="168" t="s">
        <v>770</v>
      </c>
      <c r="F1171" s="169" t="s">
        <v>770</v>
      </c>
      <c r="G1171" s="122" t="s">
        <v>770</v>
      </c>
      <c r="H1171" s="170">
        <v>-2700000</v>
      </c>
      <c r="I1171" s="168" t="s">
        <v>1200</v>
      </c>
      <c r="J1171" s="168" t="s">
        <v>770</v>
      </c>
    </row>
    <row r="1172" spans="2:10" ht="12" x14ac:dyDescent="0.15">
      <c r="B1172" s="121">
        <v>13</v>
      </c>
      <c r="C1172" s="167" t="s">
        <v>70</v>
      </c>
      <c r="D1172" s="168" t="s">
        <v>1486</v>
      </c>
      <c r="E1172" s="168" t="s">
        <v>770</v>
      </c>
      <c r="F1172" s="169" t="s">
        <v>770</v>
      </c>
      <c r="G1172" s="122" t="s">
        <v>770</v>
      </c>
      <c r="H1172" s="170">
        <v>4200000</v>
      </c>
      <c r="I1172" s="168" t="s">
        <v>1200</v>
      </c>
      <c r="J1172" s="168" t="s">
        <v>770</v>
      </c>
    </row>
    <row r="1173" spans="2:10" ht="12" x14ac:dyDescent="0.15">
      <c r="B1173" s="121">
        <v>13</v>
      </c>
      <c r="C1173" s="167" t="s">
        <v>70</v>
      </c>
      <c r="D1173" s="168" t="s">
        <v>1487</v>
      </c>
      <c r="E1173" s="168" t="s">
        <v>770</v>
      </c>
      <c r="F1173" s="169" t="s">
        <v>770</v>
      </c>
      <c r="G1173" s="122" t="s">
        <v>770</v>
      </c>
      <c r="H1173" s="170">
        <v>8240000</v>
      </c>
      <c r="I1173" s="168" t="s">
        <v>1200</v>
      </c>
      <c r="J1173" s="168" t="s">
        <v>770</v>
      </c>
    </row>
    <row r="1174" spans="2:10" ht="12" x14ac:dyDescent="0.15">
      <c r="B1174" s="121">
        <v>13</v>
      </c>
      <c r="C1174" s="167" t="s">
        <v>70</v>
      </c>
      <c r="D1174" s="168" t="s">
        <v>1488</v>
      </c>
      <c r="E1174" s="168" t="s">
        <v>770</v>
      </c>
      <c r="F1174" s="169" t="s">
        <v>770</v>
      </c>
      <c r="G1174" s="122" t="s">
        <v>770</v>
      </c>
      <c r="H1174" s="170">
        <v>1720000</v>
      </c>
      <c r="I1174" s="168" t="s">
        <v>1200</v>
      </c>
      <c r="J1174" s="168" t="s">
        <v>770</v>
      </c>
    </row>
    <row r="1175" spans="2:10" ht="12" x14ac:dyDescent="0.15">
      <c r="B1175" s="121">
        <v>13</v>
      </c>
      <c r="C1175" s="167" t="s">
        <v>70</v>
      </c>
      <c r="D1175" s="168" t="s">
        <v>1489</v>
      </c>
      <c r="E1175" s="168" t="s">
        <v>770</v>
      </c>
      <c r="F1175" s="169" t="s">
        <v>770</v>
      </c>
      <c r="G1175" s="122" t="s">
        <v>770</v>
      </c>
      <c r="H1175" s="170">
        <v>4500000</v>
      </c>
      <c r="I1175" s="168" t="s">
        <v>1200</v>
      </c>
      <c r="J1175" s="168" t="s">
        <v>770</v>
      </c>
    </row>
    <row r="1176" spans="2:10" ht="12" x14ac:dyDescent="0.15">
      <c r="B1176" s="121">
        <v>13</v>
      </c>
      <c r="C1176" s="167" t="s">
        <v>70</v>
      </c>
      <c r="D1176" s="168" t="s">
        <v>1483</v>
      </c>
      <c r="E1176" s="168" t="s">
        <v>770</v>
      </c>
      <c r="F1176" s="169" t="s">
        <v>770</v>
      </c>
      <c r="G1176" s="122" t="s">
        <v>770</v>
      </c>
      <c r="H1176" s="170">
        <v>-450000</v>
      </c>
      <c r="I1176" s="168" t="s">
        <v>1200</v>
      </c>
      <c r="J1176" s="168" t="s">
        <v>770</v>
      </c>
    </row>
    <row r="1177" spans="2:10" ht="12" x14ac:dyDescent="0.15">
      <c r="B1177" s="121">
        <v>13</v>
      </c>
      <c r="C1177" s="167" t="s">
        <v>70</v>
      </c>
      <c r="D1177" s="168" t="s">
        <v>1483</v>
      </c>
      <c r="E1177" s="168" t="s">
        <v>770</v>
      </c>
      <c r="F1177" s="169" t="s">
        <v>770</v>
      </c>
      <c r="G1177" s="122" t="s">
        <v>770</v>
      </c>
      <c r="H1177" s="170">
        <v>-450000</v>
      </c>
      <c r="I1177" s="168" t="s">
        <v>1200</v>
      </c>
      <c r="J1177" s="168" t="s">
        <v>770</v>
      </c>
    </row>
    <row r="1178" spans="2:10" ht="12" x14ac:dyDescent="0.15">
      <c r="B1178" s="121">
        <v>13</v>
      </c>
      <c r="C1178" s="167" t="s">
        <v>70</v>
      </c>
      <c r="D1178" s="168" t="s">
        <v>1484</v>
      </c>
      <c r="E1178" s="168" t="s">
        <v>770</v>
      </c>
      <c r="F1178" s="169" t="s">
        <v>770</v>
      </c>
      <c r="G1178" s="122" t="s">
        <v>770</v>
      </c>
      <c r="H1178" s="170">
        <v>-225000</v>
      </c>
      <c r="I1178" s="168" t="s">
        <v>1200</v>
      </c>
      <c r="J1178" s="168" t="s">
        <v>770</v>
      </c>
    </row>
    <row r="1179" spans="2:10" ht="12" x14ac:dyDescent="0.15">
      <c r="B1179" s="121">
        <v>13</v>
      </c>
      <c r="C1179" s="167" t="s">
        <v>70</v>
      </c>
      <c r="D1179" s="168" t="s">
        <v>1485</v>
      </c>
      <c r="E1179" s="168" t="s">
        <v>770</v>
      </c>
      <c r="F1179" s="169" t="s">
        <v>770</v>
      </c>
      <c r="G1179" s="122" t="s">
        <v>770</v>
      </c>
      <c r="H1179" s="170">
        <v>-2700000</v>
      </c>
      <c r="I1179" s="168" t="s">
        <v>1200</v>
      </c>
      <c r="J1179" s="168" t="s">
        <v>770</v>
      </c>
    </row>
    <row r="1180" spans="2:10" ht="12" x14ac:dyDescent="0.15">
      <c r="B1180" s="121">
        <v>13</v>
      </c>
      <c r="C1180" s="167" t="s">
        <v>70</v>
      </c>
      <c r="D1180" s="168" t="s">
        <v>1228</v>
      </c>
      <c r="E1180" s="168" t="s">
        <v>770</v>
      </c>
      <c r="F1180" s="169" t="s">
        <v>770</v>
      </c>
      <c r="G1180" s="122" t="s">
        <v>770</v>
      </c>
      <c r="H1180" s="170">
        <v>225000</v>
      </c>
      <c r="I1180" s="168" t="s">
        <v>1200</v>
      </c>
      <c r="J1180" s="168" t="s">
        <v>770</v>
      </c>
    </row>
    <row r="1181" spans="2:10" ht="12" x14ac:dyDescent="0.15">
      <c r="B1181" s="121">
        <v>13</v>
      </c>
      <c r="C1181" s="167" t="s">
        <v>70</v>
      </c>
      <c r="D1181" s="168" t="s">
        <v>1229</v>
      </c>
      <c r="E1181" s="168" t="s">
        <v>770</v>
      </c>
      <c r="F1181" s="169" t="s">
        <v>770</v>
      </c>
      <c r="G1181" s="122" t="s">
        <v>770</v>
      </c>
      <c r="H1181" s="170">
        <v>2700000</v>
      </c>
      <c r="I1181" s="168" t="s">
        <v>1200</v>
      </c>
      <c r="J1181" s="168" t="s">
        <v>770</v>
      </c>
    </row>
    <row r="1182" spans="2:10" ht="12" x14ac:dyDescent="0.15">
      <c r="B1182" s="121">
        <v>13</v>
      </c>
      <c r="C1182" s="167" t="s">
        <v>70</v>
      </c>
      <c r="D1182" s="168" t="s">
        <v>1211</v>
      </c>
      <c r="E1182" s="168" t="s">
        <v>770</v>
      </c>
      <c r="F1182" s="169" t="s">
        <v>770</v>
      </c>
      <c r="G1182" s="122" t="s">
        <v>770</v>
      </c>
      <c r="H1182" s="170">
        <v>3000000</v>
      </c>
      <c r="I1182" s="168" t="s">
        <v>1200</v>
      </c>
      <c r="J1182" s="168" t="s">
        <v>770</v>
      </c>
    </row>
    <row r="1183" spans="2:10" ht="12" x14ac:dyDescent="0.15">
      <c r="B1183" s="121">
        <v>13</v>
      </c>
      <c r="C1183" s="167" t="s">
        <v>70</v>
      </c>
      <c r="D1183" s="168" t="s">
        <v>1230</v>
      </c>
      <c r="E1183" s="168" t="s">
        <v>770</v>
      </c>
      <c r="F1183" s="169" t="s">
        <v>770</v>
      </c>
      <c r="G1183" s="122" t="s">
        <v>770</v>
      </c>
      <c r="H1183" s="170">
        <v>450000</v>
      </c>
      <c r="I1183" s="168" t="s">
        <v>1200</v>
      </c>
      <c r="J1183" s="168" t="s">
        <v>770</v>
      </c>
    </row>
    <row r="1184" spans="2:10" ht="12" x14ac:dyDescent="0.15">
      <c r="B1184" s="121">
        <v>13</v>
      </c>
      <c r="C1184" s="167" t="s">
        <v>70</v>
      </c>
      <c r="D1184" s="168" t="s">
        <v>1483</v>
      </c>
      <c r="E1184" s="168" t="s">
        <v>770</v>
      </c>
      <c r="F1184" s="169" t="s">
        <v>770</v>
      </c>
      <c r="G1184" s="122" t="s">
        <v>770</v>
      </c>
      <c r="H1184" s="170">
        <v>450000</v>
      </c>
      <c r="I1184" s="168" t="s">
        <v>1200</v>
      </c>
      <c r="J1184" s="168" t="s">
        <v>770</v>
      </c>
    </row>
    <row r="1185" spans="2:12" ht="12" x14ac:dyDescent="0.15">
      <c r="B1185" s="121">
        <v>13</v>
      </c>
      <c r="C1185" s="167" t="s">
        <v>70</v>
      </c>
      <c r="D1185" s="168" t="s">
        <v>1483</v>
      </c>
      <c r="E1185" s="168" t="s">
        <v>770</v>
      </c>
      <c r="F1185" s="169" t="s">
        <v>770</v>
      </c>
      <c r="G1185" s="122" t="s">
        <v>770</v>
      </c>
      <c r="H1185" s="170">
        <v>450000</v>
      </c>
      <c r="I1185" s="168" t="s">
        <v>1200</v>
      </c>
      <c r="J1185" s="168" t="s">
        <v>770</v>
      </c>
    </row>
    <row r="1186" spans="2:12" ht="12" x14ac:dyDescent="0.15">
      <c r="B1186" s="121">
        <v>13</v>
      </c>
      <c r="C1186" s="167" t="s">
        <v>70</v>
      </c>
      <c r="D1186" s="168" t="s">
        <v>1484</v>
      </c>
      <c r="E1186" s="168" t="s">
        <v>770</v>
      </c>
      <c r="F1186" s="169" t="s">
        <v>770</v>
      </c>
      <c r="G1186" s="122" t="s">
        <v>770</v>
      </c>
      <c r="H1186" s="170">
        <v>225000</v>
      </c>
      <c r="I1186" s="168" t="s">
        <v>1200</v>
      </c>
      <c r="J1186" s="168" t="s">
        <v>770</v>
      </c>
    </row>
    <row r="1187" spans="2:12" ht="12" x14ac:dyDescent="0.15">
      <c r="B1187" s="121">
        <v>13</v>
      </c>
      <c r="C1187" s="167" t="s">
        <v>70</v>
      </c>
      <c r="D1187" s="168" t="s">
        <v>1485</v>
      </c>
      <c r="E1187" s="168" t="s">
        <v>770</v>
      </c>
      <c r="F1187" s="169" t="s">
        <v>770</v>
      </c>
      <c r="G1187" s="122" t="s">
        <v>770</v>
      </c>
      <c r="H1187" s="170">
        <v>2700000</v>
      </c>
      <c r="I1187" s="168" t="s">
        <v>1200</v>
      </c>
      <c r="J1187" s="168" t="s">
        <v>770</v>
      </c>
    </row>
    <row r="1188" spans="2:12" ht="12" x14ac:dyDescent="0.15">
      <c r="B1188" s="121">
        <v>13</v>
      </c>
      <c r="C1188" s="167" t="s">
        <v>70</v>
      </c>
      <c r="D1188" s="168" t="s">
        <v>1336</v>
      </c>
      <c r="E1188" s="168" t="s">
        <v>770</v>
      </c>
      <c r="F1188" s="169" t="s">
        <v>770</v>
      </c>
      <c r="G1188" s="122" t="s">
        <v>770</v>
      </c>
      <c r="H1188" s="170">
        <v>880000</v>
      </c>
      <c r="I1188" s="168" t="s">
        <v>1200</v>
      </c>
      <c r="J1188" s="168" t="s">
        <v>770</v>
      </c>
    </row>
    <row r="1189" spans="2:12" ht="12" x14ac:dyDescent="0.15">
      <c r="B1189" s="121">
        <v>13</v>
      </c>
      <c r="C1189" s="167" t="s">
        <v>70</v>
      </c>
      <c r="D1189" s="168" t="s">
        <v>1336</v>
      </c>
      <c r="E1189" s="168" t="s">
        <v>770</v>
      </c>
      <c r="F1189" s="169" t="s">
        <v>770</v>
      </c>
      <c r="G1189" s="122" t="s">
        <v>770</v>
      </c>
      <c r="H1189" s="170">
        <v>-880000</v>
      </c>
      <c r="I1189" s="168" t="s">
        <v>1200</v>
      </c>
      <c r="J1189" s="168" t="s">
        <v>770</v>
      </c>
    </row>
    <row r="1190" spans="2:12" ht="12" x14ac:dyDescent="0.15">
      <c r="B1190" s="121">
        <v>13</v>
      </c>
      <c r="C1190" s="167" t="s">
        <v>70</v>
      </c>
      <c r="D1190" s="168" t="s">
        <v>1490</v>
      </c>
      <c r="E1190" s="168" t="s">
        <v>770</v>
      </c>
      <c r="F1190" s="169" t="s">
        <v>770</v>
      </c>
      <c r="G1190" s="122" t="s">
        <v>770</v>
      </c>
      <c r="H1190" s="170">
        <v>7311186</v>
      </c>
      <c r="I1190" s="168" t="s">
        <v>1200</v>
      </c>
      <c r="J1190" s="168" t="s">
        <v>770</v>
      </c>
    </row>
    <row r="1191" spans="2:12" ht="12" x14ac:dyDescent="0.15">
      <c r="B1191" s="121">
        <v>13</v>
      </c>
      <c r="C1191" s="167" t="s">
        <v>70</v>
      </c>
      <c r="D1191" s="168" t="s">
        <v>1491</v>
      </c>
      <c r="E1191" s="168" t="s">
        <v>770</v>
      </c>
      <c r="F1191" s="169" t="s">
        <v>770</v>
      </c>
      <c r="G1191" s="122" t="s">
        <v>770</v>
      </c>
      <c r="H1191" s="170">
        <v>5932203</v>
      </c>
      <c r="I1191" s="168" t="s">
        <v>1200</v>
      </c>
      <c r="J1191" s="168" t="s">
        <v>770</v>
      </c>
    </row>
    <row r="1192" spans="2:12" ht="12" x14ac:dyDescent="0.15">
      <c r="B1192" s="121">
        <v>13</v>
      </c>
      <c r="C1192" s="167" t="s">
        <v>70</v>
      </c>
      <c r="D1192" s="168" t="s">
        <v>1492</v>
      </c>
      <c r="E1192" s="168" t="s">
        <v>770</v>
      </c>
      <c r="F1192" s="169" t="s">
        <v>770</v>
      </c>
      <c r="G1192" s="122" t="s">
        <v>770</v>
      </c>
      <c r="H1192" s="170">
        <v>7133220</v>
      </c>
      <c r="I1192" s="168" t="s">
        <v>1200</v>
      </c>
      <c r="J1192" s="168" t="s">
        <v>770</v>
      </c>
    </row>
    <row r="1193" spans="2:12" ht="12" x14ac:dyDescent="0.15">
      <c r="B1193" s="121">
        <v>13</v>
      </c>
      <c r="C1193" s="167" t="s">
        <v>70</v>
      </c>
      <c r="D1193" s="168" t="s">
        <v>1493</v>
      </c>
      <c r="E1193" s="168" t="s">
        <v>770</v>
      </c>
      <c r="F1193" s="169" t="s">
        <v>770</v>
      </c>
      <c r="G1193" s="122" t="s">
        <v>770</v>
      </c>
      <c r="H1193" s="170">
        <v>5463729</v>
      </c>
      <c r="I1193" s="168" t="s">
        <v>1200</v>
      </c>
      <c r="J1193" s="168" t="s">
        <v>770</v>
      </c>
    </row>
    <row r="1194" spans="2:12" ht="12" x14ac:dyDescent="0.15">
      <c r="B1194" s="121">
        <v>13</v>
      </c>
      <c r="C1194" s="167" t="s">
        <v>70</v>
      </c>
      <c r="D1194" s="168" t="s">
        <v>1242</v>
      </c>
      <c r="E1194" s="168" t="s">
        <v>770</v>
      </c>
      <c r="F1194" s="169" t="s">
        <v>770</v>
      </c>
      <c r="G1194" s="122" t="s">
        <v>770</v>
      </c>
      <c r="H1194" s="170">
        <v>3560000</v>
      </c>
      <c r="I1194" s="168" t="s">
        <v>1200</v>
      </c>
      <c r="J1194" s="168" t="s">
        <v>770</v>
      </c>
    </row>
    <row r="1195" spans="2:12" ht="12" x14ac:dyDescent="0.15">
      <c r="B1195" s="121">
        <v>13</v>
      </c>
      <c r="C1195" s="167" t="s">
        <v>70</v>
      </c>
      <c r="D1195" s="168" t="s">
        <v>1242</v>
      </c>
      <c r="E1195" s="168" t="s">
        <v>770</v>
      </c>
      <c r="F1195" s="169" t="s">
        <v>770</v>
      </c>
      <c r="G1195" s="122" t="s">
        <v>770</v>
      </c>
      <c r="H1195" s="170">
        <v>-3560000</v>
      </c>
      <c r="I1195" s="168" t="s">
        <v>1200</v>
      </c>
      <c r="J1195" s="168" t="s">
        <v>770</v>
      </c>
    </row>
    <row r="1196" spans="2:12" ht="12" x14ac:dyDescent="0.15">
      <c r="B1196" s="121">
        <v>13</v>
      </c>
      <c r="C1196" s="167" t="s">
        <v>70</v>
      </c>
      <c r="D1196" s="168" t="s">
        <v>1494</v>
      </c>
      <c r="E1196" s="168" t="s">
        <v>770</v>
      </c>
      <c r="F1196" s="169" t="s">
        <v>770</v>
      </c>
      <c r="G1196" s="122" t="s">
        <v>770</v>
      </c>
      <c r="H1196" s="170">
        <v>-1206000</v>
      </c>
      <c r="I1196" s="168" t="s">
        <v>1200</v>
      </c>
      <c r="J1196" s="168" t="s">
        <v>770</v>
      </c>
    </row>
    <row r="1197" spans="2:12" ht="12" x14ac:dyDescent="0.15">
      <c r="B1197" s="121">
        <v>13</v>
      </c>
      <c r="C1197" s="167" t="s">
        <v>70</v>
      </c>
      <c r="D1197" s="168" t="s">
        <v>770</v>
      </c>
      <c r="E1197" s="168" t="s">
        <v>770</v>
      </c>
      <c r="F1197" s="169" t="s">
        <v>770</v>
      </c>
      <c r="G1197" s="122" t="s">
        <v>770</v>
      </c>
      <c r="H1197" s="170">
        <v>8076385.5429999996</v>
      </c>
      <c r="I1197" s="168" t="s">
        <v>1200</v>
      </c>
      <c r="J1197" s="168" t="s">
        <v>770</v>
      </c>
      <c r="L1197" s="76"/>
    </row>
    <row r="1198" spans="2:12" ht="12" x14ac:dyDescent="0.15">
      <c r="B1198" s="121">
        <v>13</v>
      </c>
      <c r="C1198" s="167" t="s">
        <v>70</v>
      </c>
      <c r="D1198" s="168" t="s">
        <v>1220</v>
      </c>
      <c r="E1198" s="168" t="s">
        <v>770</v>
      </c>
      <c r="F1198" s="169" t="s">
        <v>770</v>
      </c>
      <c r="G1198" s="122" t="s">
        <v>770</v>
      </c>
      <c r="H1198" s="170">
        <v>-8076385.5429999996</v>
      </c>
      <c r="I1198" s="168" t="s">
        <v>1200</v>
      </c>
      <c r="J1198" s="168" t="s">
        <v>770</v>
      </c>
      <c r="L1198" s="76"/>
    </row>
    <row r="1199" spans="2:12" ht="12" x14ac:dyDescent="0.15">
      <c r="B1199" s="121">
        <v>13</v>
      </c>
      <c r="C1199" s="167" t="s">
        <v>70</v>
      </c>
      <c r="D1199" s="168" t="s">
        <v>770</v>
      </c>
      <c r="E1199" s="168" t="s">
        <v>770</v>
      </c>
      <c r="F1199" s="169" t="s">
        <v>770</v>
      </c>
      <c r="G1199" s="122" t="s">
        <v>770</v>
      </c>
      <c r="H1199" s="170">
        <v>107676493.927</v>
      </c>
      <c r="I1199" s="168" t="s">
        <v>1200</v>
      </c>
      <c r="J1199" s="168" t="s">
        <v>770</v>
      </c>
      <c r="L1199" s="76"/>
    </row>
    <row r="1200" spans="2:12" ht="12" x14ac:dyDescent="0.15">
      <c r="B1200" s="121">
        <v>13</v>
      </c>
      <c r="C1200" s="167" t="s">
        <v>70</v>
      </c>
      <c r="D1200" s="168" t="s">
        <v>1495</v>
      </c>
      <c r="E1200" s="168" t="s">
        <v>770</v>
      </c>
      <c r="F1200" s="169" t="s">
        <v>770</v>
      </c>
      <c r="G1200" s="122" t="s">
        <v>770</v>
      </c>
      <c r="H1200" s="170">
        <v>-107676493.927</v>
      </c>
      <c r="I1200" s="168" t="s">
        <v>1200</v>
      </c>
      <c r="J1200" s="168" t="s">
        <v>770</v>
      </c>
      <c r="L1200" s="76"/>
    </row>
    <row r="1201" spans="2:12" ht="12" x14ac:dyDescent="0.15">
      <c r="B1201" s="121">
        <v>13</v>
      </c>
      <c r="C1201" s="167" t="s">
        <v>70</v>
      </c>
      <c r="D1201" s="168" t="s">
        <v>770</v>
      </c>
      <c r="E1201" s="168" t="s">
        <v>770</v>
      </c>
      <c r="F1201" s="169" t="s">
        <v>770</v>
      </c>
      <c r="G1201" s="122" t="s">
        <v>770</v>
      </c>
      <c r="H1201" s="170">
        <v>73103762.513999999</v>
      </c>
      <c r="I1201" s="168" t="s">
        <v>1200</v>
      </c>
      <c r="J1201" s="168" t="s">
        <v>770</v>
      </c>
      <c r="L1201" s="76"/>
    </row>
    <row r="1202" spans="2:12" ht="12" x14ac:dyDescent="0.15">
      <c r="B1202" s="121">
        <v>13</v>
      </c>
      <c r="C1202" s="167" t="s">
        <v>70</v>
      </c>
      <c r="D1202" s="168" t="s">
        <v>1496</v>
      </c>
      <c r="E1202" s="168" t="s">
        <v>770</v>
      </c>
      <c r="F1202" s="169" t="s">
        <v>770</v>
      </c>
      <c r="G1202" s="122" t="s">
        <v>770</v>
      </c>
      <c r="H1202" s="170">
        <v>-129506.833</v>
      </c>
      <c r="I1202" s="168" t="s">
        <v>1200</v>
      </c>
      <c r="J1202" s="168" t="s">
        <v>770</v>
      </c>
      <c r="L1202" s="76"/>
    </row>
    <row r="1203" spans="2:12" ht="12" x14ac:dyDescent="0.15">
      <c r="B1203" s="121">
        <v>13</v>
      </c>
      <c r="C1203" s="167" t="s">
        <v>70</v>
      </c>
      <c r="D1203" s="168" t="s">
        <v>1496</v>
      </c>
      <c r="E1203" s="168" t="s">
        <v>770</v>
      </c>
      <c r="F1203" s="169" t="s">
        <v>770</v>
      </c>
      <c r="G1203" s="122" t="s">
        <v>770</v>
      </c>
      <c r="H1203" s="170">
        <v>-72974255.681000009</v>
      </c>
      <c r="I1203" s="168" t="s">
        <v>1200</v>
      </c>
      <c r="J1203" s="168" t="s">
        <v>770</v>
      </c>
      <c r="L1203" s="76"/>
    </row>
    <row r="1204" spans="2:12" ht="12" x14ac:dyDescent="0.15">
      <c r="B1204" s="121">
        <v>13</v>
      </c>
      <c r="C1204" s="167" t="s">
        <v>70</v>
      </c>
      <c r="D1204" s="168" t="s">
        <v>1220</v>
      </c>
      <c r="E1204" s="168" t="s">
        <v>770</v>
      </c>
      <c r="F1204" s="169" t="s">
        <v>770</v>
      </c>
      <c r="G1204" s="122" t="s">
        <v>770</v>
      </c>
      <c r="H1204" s="170">
        <v>8076385.5429999996</v>
      </c>
      <c r="I1204" s="168" t="s">
        <v>1200</v>
      </c>
      <c r="J1204" s="168" t="s">
        <v>770</v>
      </c>
      <c r="L1204" s="76"/>
    </row>
    <row r="1205" spans="2:12" ht="12" x14ac:dyDescent="0.15">
      <c r="B1205" s="121">
        <v>13</v>
      </c>
      <c r="C1205" s="167" t="s">
        <v>70</v>
      </c>
      <c r="D1205" s="168" t="s">
        <v>1496</v>
      </c>
      <c r="E1205" s="168" t="s">
        <v>770</v>
      </c>
      <c r="F1205" s="169" t="s">
        <v>770</v>
      </c>
      <c r="G1205" s="122" t="s">
        <v>770</v>
      </c>
      <c r="H1205" s="170">
        <v>72974255.681000009</v>
      </c>
      <c r="I1205" s="168" t="s">
        <v>1200</v>
      </c>
      <c r="J1205" s="168" t="s">
        <v>770</v>
      </c>
      <c r="L1205" s="76"/>
    </row>
    <row r="1206" spans="2:12" ht="12" x14ac:dyDescent="0.15">
      <c r="B1206" s="121">
        <v>13</v>
      </c>
      <c r="C1206" s="167" t="s">
        <v>70</v>
      </c>
      <c r="D1206" s="168" t="s">
        <v>770</v>
      </c>
      <c r="E1206" s="168" t="s">
        <v>770</v>
      </c>
      <c r="F1206" s="169" t="s">
        <v>770</v>
      </c>
      <c r="G1206" s="122" t="s">
        <v>770</v>
      </c>
      <c r="H1206" s="170">
        <v>45012158.611000009</v>
      </c>
      <c r="I1206" s="168" t="s">
        <v>1200</v>
      </c>
      <c r="J1206" s="168" t="s">
        <v>770</v>
      </c>
      <c r="L1206" s="76"/>
    </row>
    <row r="1207" spans="2:12" ht="12" x14ac:dyDescent="0.15">
      <c r="B1207" s="121">
        <v>13</v>
      </c>
      <c r="C1207" s="167" t="s">
        <v>70</v>
      </c>
      <c r="D1207" s="168" t="s">
        <v>770</v>
      </c>
      <c r="E1207" s="168" t="s">
        <v>770</v>
      </c>
      <c r="F1207" s="169" t="s">
        <v>770</v>
      </c>
      <c r="G1207" s="122" t="s">
        <v>770</v>
      </c>
      <c r="H1207" s="170">
        <v>33338028.889000002</v>
      </c>
      <c r="I1207" s="168" t="s">
        <v>1200</v>
      </c>
      <c r="J1207" s="168" t="s">
        <v>770</v>
      </c>
      <c r="L1207" s="76"/>
    </row>
    <row r="1208" spans="2:12" ht="12" x14ac:dyDescent="0.15">
      <c r="B1208" s="121">
        <v>13</v>
      </c>
      <c r="C1208" s="167" t="s">
        <v>70</v>
      </c>
      <c r="D1208" s="168" t="s">
        <v>770</v>
      </c>
      <c r="E1208" s="168" t="s">
        <v>770</v>
      </c>
      <c r="F1208" s="169" t="s">
        <v>770</v>
      </c>
      <c r="G1208" s="122" t="s">
        <v>770</v>
      </c>
      <c r="H1208" s="170">
        <v>2818581.6990000005</v>
      </c>
      <c r="I1208" s="168" t="s">
        <v>1200</v>
      </c>
      <c r="J1208" s="168" t="s">
        <v>770</v>
      </c>
      <c r="L1208" s="76"/>
    </row>
    <row r="1209" spans="2:12" ht="12" x14ac:dyDescent="0.15">
      <c r="B1209" s="121">
        <v>13</v>
      </c>
      <c r="C1209" s="167" t="s">
        <v>70</v>
      </c>
      <c r="D1209" s="168" t="s">
        <v>770</v>
      </c>
      <c r="E1209" s="168" t="s">
        <v>770</v>
      </c>
      <c r="F1209" s="169" t="s">
        <v>770</v>
      </c>
      <c r="G1209" s="122" t="s">
        <v>770</v>
      </c>
      <c r="H1209" s="170">
        <v>2334787.372</v>
      </c>
      <c r="I1209" s="168" t="s">
        <v>1200</v>
      </c>
      <c r="J1209" s="168" t="s">
        <v>770</v>
      </c>
      <c r="L1209" s="76"/>
    </row>
    <row r="1210" spans="2:12" ht="12" x14ac:dyDescent="0.15">
      <c r="B1210" s="121">
        <v>13</v>
      </c>
      <c r="C1210" s="167" t="s">
        <v>70</v>
      </c>
      <c r="D1210" s="168" t="s">
        <v>770</v>
      </c>
      <c r="E1210" s="168" t="s">
        <v>770</v>
      </c>
      <c r="F1210" s="169" t="s">
        <v>770</v>
      </c>
      <c r="G1210" s="122" t="s">
        <v>770</v>
      </c>
      <c r="H1210" s="170">
        <v>1517631.078</v>
      </c>
      <c r="I1210" s="168" t="s">
        <v>1200</v>
      </c>
      <c r="J1210" s="168" t="s">
        <v>770</v>
      </c>
      <c r="L1210" s="76"/>
    </row>
    <row r="1211" spans="2:12" ht="12" x14ac:dyDescent="0.15">
      <c r="B1211" s="121">
        <v>13</v>
      </c>
      <c r="C1211" s="167" t="s">
        <v>70</v>
      </c>
      <c r="D1211" s="168" t="s">
        <v>770</v>
      </c>
      <c r="E1211" s="168" t="s">
        <v>770</v>
      </c>
      <c r="F1211" s="169" t="s">
        <v>770</v>
      </c>
      <c r="G1211" s="122" t="s">
        <v>770</v>
      </c>
      <c r="H1211" s="170">
        <v>4753083.99</v>
      </c>
      <c r="I1211" s="168" t="s">
        <v>1200</v>
      </c>
      <c r="J1211" s="168" t="s">
        <v>770</v>
      </c>
      <c r="L1211" s="76"/>
    </row>
    <row r="1212" spans="2:12" ht="12" x14ac:dyDescent="0.15">
      <c r="B1212" s="121">
        <v>13</v>
      </c>
      <c r="C1212" s="167" t="s">
        <v>70</v>
      </c>
      <c r="D1212" s="168" t="s">
        <v>770</v>
      </c>
      <c r="E1212" s="168" t="s">
        <v>770</v>
      </c>
      <c r="F1212" s="169" t="s">
        <v>770</v>
      </c>
      <c r="G1212" s="122" t="s">
        <v>770</v>
      </c>
      <c r="H1212" s="170">
        <v>1317633.1839999999</v>
      </c>
      <c r="I1212" s="168" t="s">
        <v>1200</v>
      </c>
      <c r="J1212" s="168" t="s">
        <v>770</v>
      </c>
      <c r="L1212" s="76"/>
    </row>
    <row r="1213" spans="2:12" ht="12" x14ac:dyDescent="0.15">
      <c r="B1213" s="121">
        <v>13</v>
      </c>
      <c r="C1213" s="167" t="s">
        <v>70</v>
      </c>
      <c r="D1213" s="168" t="s">
        <v>770</v>
      </c>
      <c r="E1213" s="168" t="s">
        <v>770</v>
      </c>
      <c r="F1213" s="169" t="s">
        <v>770</v>
      </c>
      <c r="G1213" s="122" t="s">
        <v>770</v>
      </c>
      <c r="H1213" s="170">
        <v>-3032851.3810000001</v>
      </c>
      <c r="I1213" s="168" t="s">
        <v>1200</v>
      </c>
      <c r="J1213" s="168" t="s">
        <v>770</v>
      </c>
      <c r="L1213" s="76"/>
    </row>
    <row r="1214" spans="2:12" ht="12" x14ac:dyDescent="0.15">
      <c r="B1214" s="121">
        <v>13</v>
      </c>
      <c r="C1214" s="167" t="s">
        <v>70</v>
      </c>
      <c r="D1214" s="168" t="s">
        <v>770</v>
      </c>
      <c r="E1214" s="168" t="s">
        <v>770</v>
      </c>
      <c r="F1214" s="169" t="s">
        <v>770</v>
      </c>
      <c r="G1214" s="122" t="s">
        <v>770</v>
      </c>
      <c r="H1214" s="170">
        <v>-45012158.611000009</v>
      </c>
      <c r="I1214" s="168" t="s">
        <v>1200</v>
      </c>
      <c r="J1214" s="168" t="s">
        <v>770</v>
      </c>
      <c r="L1214" s="76"/>
    </row>
    <row r="1215" spans="2:12" ht="12" x14ac:dyDescent="0.15">
      <c r="B1215" s="121">
        <v>13</v>
      </c>
      <c r="C1215" s="167" t="s">
        <v>70</v>
      </c>
      <c r="D1215" s="168" t="s">
        <v>770</v>
      </c>
      <c r="E1215" s="168" t="s">
        <v>770</v>
      </c>
      <c r="F1215" s="169" t="s">
        <v>770</v>
      </c>
      <c r="G1215" s="122" t="s">
        <v>770</v>
      </c>
      <c r="H1215" s="170">
        <v>-33338028.889000002</v>
      </c>
      <c r="I1215" s="168" t="s">
        <v>1200</v>
      </c>
      <c r="J1215" s="168" t="s">
        <v>770</v>
      </c>
      <c r="L1215" s="76"/>
    </row>
    <row r="1216" spans="2:12" ht="12" x14ac:dyDescent="0.15">
      <c r="B1216" s="121">
        <v>13</v>
      </c>
      <c r="C1216" s="167" t="s">
        <v>70</v>
      </c>
      <c r="D1216" s="168" t="s">
        <v>770</v>
      </c>
      <c r="E1216" s="168" t="s">
        <v>770</v>
      </c>
      <c r="F1216" s="169" t="s">
        <v>770</v>
      </c>
      <c r="G1216" s="122" t="s">
        <v>770</v>
      </c>
      <c r="H1216" s="170">
        <v>-2818581.6990000005</v>
      </c>
      <c r="I1216" s="168" t="s">
        <v>1200</v>
      </c>
      <c r="J1216" s="168" t="s">
        <v>770</v>
      </c>
      <c r="L1216" s="76"/>
    </row>
    <row r="1217" spans="2:12" ht="12" x14ac:dyDescent="0.15">
      <c r="B1217" s="121">
        <v>13</v>
      </c>
      <c r="C1217" s="167" t="s">
        <v>70</v>
      </c>
      <c r="D1217" s="168" t="s">
        <v>770</v>
      </c>
      <c r="E1217" s="168" t="s">
        <v>770</v>
      </c>
      <c r="F1217" s="169" t="s">
        <v>770</v>
      </c>
      <c r="G1217" s="122" t="s">
        <v>770</v>
      </c>
      <c r="H1217" s="170">
        <v>-2334787.372</v>
      </c>
      <c r="I1217" s="168" t="s">
        <v>1200</v>
      </c>
      <c r="J1217" s="168" t="s">
        <v>770</v>
      </c>
      <c r="L1217" s="76"/>
    </row>
    <row r="1218" spans="2:12" ht="12" x14ac:dyDescent="0.15">
      <c r="B1218" s="121">
        <v>13</v>
      </c>
      <c r="C1218" s="167" t="s">
        <v>70</v>
      </c>
      <c r="D1218" s="168" t="s">
        <v>770</v>
      </c>
      <c r="E1218" s="168" t="s">
        <v>770</v>
      </c>
      <c r="F1218" s="169" t="s">
        <v>770</v>
      </c>
      <c r="G1218" s="122" t="s">
        <v>770</v>
      </c>
      <c r="H1218" s="170">
        <v>-1517631.078</v>
      </c>
      <c r="I1218" s="168" t="s">
        <v>1200</v>
      </c>
      <c r="J1218" s="168" t="s">
        <v>770</v>
      </c>
      <c r="L1218" s="76"/>
    </row>
    <row r="1219" spans="2:12" ht="12" x14ac:dyDescent="0.15">
      <c r="B1219" s="121">
        <v>13</v>
      </c>
      <c r="C1219" s="167" t="s">
        <v>70</v>
      </c>
      <c r="D1219" s="168" t="s">
        <v>770</v>
      </c>
      <c r="E1219" s="168" t="s">
        <v>770</v>
      </c>
      <c r="F1219" s="169" t="s">
        <v>770</v>
      </c>
      <c r="G1219" s="122" t="s">
        <v>770</v>
      </c>
      <c r="H1219" s="170">
        <v>-4753083.99</v>
      </c>
      <c r="I1219" s="168" t="s">
        <v>1200</v>
      </c>
      <c r="J1219" s="168" t="s">
        <v>770</v>
      </c>
      <c r="L1219" s="76"/>
    </row>
    <row r="1220" spans="2:12" ht="12" x14ac:dyDescent="0.15">
      <c r="B1220" s="121">
        <v>13</v>
      </c>
      <c r="C1220" s="167" t="s">
        <v>70</v>
      </c>
      <c r="D1220" s="168" t="s">
        <v>770</v>
      </c>
      <c r="E1220" s="168" t="s">
        <v>770</v>
      </c>
      <c r="F1220" s="169" t="s">
        <v>770</v>
      </c>
      <c r="G1220" s="122" t="s">
        <v>770</v>
      </c>
      <c r="H1220" s="170">
        <v>-1317633.1839999999</v>
      </c>
      <c r="I1220" s="168" t="s">
        <v>1200</v>
      </c>
      <c r="J1220" s="168" t="s">
        <v>770</v>
      </c>
      <c r="L1220" s="76"/>
    </row>
    <row r="1221" spans="2:12" ht="12" x14ac:dyDescent="0.15">
      <c r="B1221" s="121">
        <v>13</v>
      </c>
      <c r="C1221" s="167" t="s">
        <v>70</v>
      </c>
      <c r="D1221" s="168" t="s">
        <v>770</v>
      </c>
      <c r="E1221" s="168" t="s">
        <v>770</v>
      </c>
      <c r="F1221" s="169" t="s">
        <v>770</v>
      </c>
      <c r="G1221" s="122" t="s">
        <v>770</v>
      </c>
      <c r="H1221" s="170">
        <v>3032851.3810000001</v>
      </c>
      <c r="I1221" s="168" t="s">
        <v>1200</v>
      </c>
      <c r="J1221" s="168" t="s">
        <v>770</v>
      </c>
      <c r="L1221" s="76"/>
    </row>
    <row r="1222" spans="2:12" ht="12" x14ac:dyDescent="0.15">
      <c r="B1222" s="121">
        <v>13</v>
      </c>
      <c r="C1222" s="167" t="s">
        <v>70</v>
      </c>
      <c r="D1222" s="168" t="s">
        <v>770</v>
      </c>
      <c r="E1222" s="168" t="s">
        <v>770</v>
      </c>
      <c r="F1222" s="169" t="s">
        <v>770</v>
      </c>
      <c r="G1222" s="122" t="s">
        <v>770</v>
      </c>
      <c r="H1222" s="170">
        <v>-3032851.3810000001</v>
      </c>
      <c r="I1222" s="168" t="s">
        <v>1200</v>
      </c>
      <c r="J1222" s="168" t="s">
        <v>770</v>
      </c>
      <c r="L1222" s="76"/>
    </row>
    <row r="1223" spans="2:12" ht="12" x14ac:dyDescent="0.15">
      <c r="B1223" s="121">
        <v>13</v>
      </c>
      <c r="C1223" s="167" t="s">
        <v>70</v>
      </c>
      <c r="D1223" s="168" t="s">
        <v>770</v>
      </c>
      <c r="E1223" s="168" t="s">
        <v>770</v>
      </c>
      <c r="F1223" s="169" t="s">
        <v>770</v>
      </c>
      <c r="G1223" s="122" t="s">
        <v>770</v>
      </c>
      <c r="H1223" s="170">
        <v>45012158.611000009</v>
      </c>
      <c r="I1223" s="168" t="s">
        <v>1200</v>
      </c>
      <c r="J1223" s="168" t="s">
        <v>770</v>
      </c>
      <c r="L1223" s="76"/>
    </row>
    <row r="1224" spans="2:12" ht="12" x14ac:dyDescent="0.15">
      <c r="B1224" s="121">
        <v>13</v>
      </c>
      <c r="C1224" s="167" t="s">
        <v>70</v>
      </c>
      <c r="D1224" s="168" t="s">
        <v>770</v>
      </c>
      <c r="E1224" s="168" t="s">
        <v>770</v>
      </c>
      <c r="F1224" s="169" t="s">
        <v>770</v>
      </c>
      <c r="G1224" s="122" t="s">
        <v>770</v>
      </c>
      <c r="H1224" s="170">
        <v>33338028.889000002</v>
      </c>
      <c r="I1224" s="168" t="s">
        <v>1200</v>
      </c>
      <c r="J1224" s="168" t="s">
        <v>770</v>
      </c>
      <c r="L1224" s="76"/>
    </row>
    <row r="1225" spans="2:12" ht="12" x14ac:dyDescent="0.15">
      <c r="B1225" s="121">
        <v>13</v>
      </c>
      <c r="C1225" s="167" t="s">
        <v>70</v>
      </c>
      <c r="D1225" s="168" t="s">
        <v>770</v>
      </c>
      <c r="E1225" s="168" t="s">
        <v>770</v>
      </c>
      <c r="F1225" s="169" t="s">
        <v>770</v>
      </c>
      <c r="G1225" s="122" t="s">
        <v>770</v>
      </c>
      <c r="H1225" s="170">
        <v>2818581.6990000005</v>
      </c>
      <c r="I1225" s="168" t="s">
        <v>1200</v>
      </c>
      <c r="J1225" s="168" t="s">
        <v>770</v>
      </c>
      <c r="L1225" s="76"/>
    </row>
    <row r="1226" spans="2:12" ht="12" x14ac:dyDescent="0.15">
      <c r="B1226" s="121">
        <v>13</v>
      </c>
      <c r="C1226" s="167" t="s">
        <v>70</v>
      </c>
      <c r="D1226" s="168" t="s">
        <v>770</v>
      </c>
      <c r="E1226" s="168" t="s">
        <v>770</v>
      </c>
      <c r="F1226" s="169" t="s">
        <v>770</v>
      </c>
      <c r="G1226" s="122" t="s">
        <v>770</v>
      </c>
      <c r="H1226" s="170">
        <v>2334787.372</v>
      </c>
      <c r="I1226" s="168" t="s">
        <v>1200</v>
      </c>
      <c r="J1226" s="168" t="s">
        <v>770</v>
      </c>
      <c r="L1226" s="76"/>
    </row>
    <row r="1227" spans="2:12" ht="12" x14ac:dyDescent="0.15">
      <c r="B1227" s="121">
        <v>13</v>
      </c>
      <c r="C1227" s="167" t="s">
        <v>70</v>
      </c>
      <c r="D1227" s="168" t="s">
        <v>770</v>
      </c>
      <c r="E1227" s="168" t="s">
        <v>770</v>
      </c>
      <c r="F1227" s="169" t="s">
        <v>770</v>
      </c>
      <c r="G1227" s="122" t="s">
        <v>770</v>
      </c>
      <c r="H1227" s="170">
        <v>1517631.078</v>
      </c>
      <c r="I1227" s="168" t="s">
        <v>1200</v>
      </c>
      <c r="J1227" s="168" t="s">
        <v>770</v>
      </c>
      <c r="L1227" s="76"/>
    </row>
    <row r="1228" spans="2:12" ht="12" x14ac:dyDescent="0.15">
      <c r="B1228" s="121">
        <v>13</v>
      </c>
      <c r="C1228" s="167" t="s">
        <v>70</v>
      </c>
      <c r="D1228" s="168" t="s">
        <v>770</v>
      </c>
      <c r="E1228" s="168" t="s">
        <v>770</v>
      </c>
      <c r="F1228" s="169" t="s">
        <v>770</v>
      </c>
      <c r="G1228" s="122" t="s">
        <v>770</v>
      </c>
      <c r="H1228" s="170">
        <v>4753083.99</v>
      </c>
      <c r="I1228" s="168" t="s">
        <v>1200</v>
      </c>
      <c r="J1228" s="168" t="s">
        <v>770</v>
      </c>
      <c r="L1228" s="76"/>
    </row>
    <row r="1229" spans="2:12" ht="12" x14ac:dyDescent="0.15">
      <c r="B1229" s="121">
        <v>13</v>
      </c>
      <c r="C1229" s="167" t="s">
        <v>70</v>
      </c>
      <c r="D1229" s="168" t="s">
        <v>770</v>
      </c>
      <c r="E1229" s="168" t="s">
        <v>770</v>
      </c>
      <c r="F1229" s="169" t="s">
        <v>770</v>
      </c>
      <c r="G1229" s="122" t="s">
        <v>770</v>
      </c>
      <c r="H1229" s="170">
        <v>1317633.1839999999</v>
      </c>
      <c r="I1229" s="168" t="s">
        <v>1200</v>
      </c>
      <c r="J1229" s="168" t="s">
        <v>770</v>
      </c>
      <c r="L1229" s="76"/>
    </row>
    <row r="1230" spans="2:12" ht="12" x14ac:dyDescent="0.15">
      <c r="B1230" s="121">
        <v>13</v>
      </c>
      <c r="C1230" s="167" t="s">
        <v>70</v>
      </c>
      <c r="D1230" s="168" t="s">
        <v>770</v>
      </c>
      <c r="E1230" s="168" t="s">
        <v>770</v>
      </c>
      <c r="F1230" s="169" t="s">
        <v>770</v>
      </c>
      <c r="G1230" s="122" t="s">
        <v>770</v>
      </c>
      <c r="H1230" s="170">
        <v>12536030</v>
      </c>
      <c r="I1230" s="168" t="s">
        <v>1200</v>
      </c>
      <c r="J1230" s="168" t="s">
        <v>770</v>
      </c>
      <c r="L1230" s="76"/>
    </row>
    <row r="1231" spans="2:12" ht="12" x14ac:dyDescent="0.15">
      <c r="B1231" s="121">
        <v>13</v>
      </c>
      <c r="C1231" s="167" t="s">
        <v>70</v>
      </c>
      <c r="D1231" s="168" t="s">
        <v>770</v>
      </c>
      <c r="E1231" s="168" t="s">
        <v>770</v>
      </c>
      <c r="F1231" s="169" t="s">
        <v>770</v>
      </c>
      <c r="G1231" s="122" t="s">
        <v>770</v>
      </c>
      <c r="H1231" s="170">
        <v>-57858.600000000006</v>
      </c>
      <c r="I1231" s="168" t="s">
        <v>1200</v>
      </c>
      <c r="J1231" s="168" t="s">
        <v>770</v>
      </c>
      <c r="L1231" s="76"/>
    </row>
    <row r="1232" spans="2:12" ht="12" x14ac:dyDescent="0.15">
      <c r="B1232" s="121">
        <v>13</v>
      </c>
      <c r="C1232" s="167" t="s">
        <v>70</v>
      </c>
      <c r="D1232" s="168" t="s">
        <v>770</v>
      </c>
      <c r="E1232" s="168" t="s">
        <v>770</v>
      </c>
      <c r="F1232" s="169" t="s">
        <v>770</v>
      </c>
      <c r="G1232" s="122" t="s">
        <v>770</v>
      </c>
      <c r="H1232" s="170">
        <v>-74637.594000000012</v>
      </c>
      <c r="I1232" s="168" t="s">
        <v>1200</v>
      </c>
      <c r="J1232" s="168" t="s">
        <v>770</v>
      </c>
      <c r="L1232" s="76"/>
    </row>
    <row r="1233" spans="2:12" ht="12" x14ac:dyDescent="0.15">
      <c r="B1233" s="121">
        <v>13</v>
      </c>
      <c r="C1233" s="167" t="s">
        <v>70</v>
      </c>
      <c r="D1233" s="168" t="s">
        <v>770</v>
      </c>
      <c r="E1233" s="168" t="s">
        <v>770</v>
      </c>
      <c r="F1233" s="169" t="s">
        <v>770</v>
      </c>
      <c r="G1233" s="122" t="s">
        <v>770</v>
      </c>
      <c r="H1233" s="170">
        <v>827088.68700000003</v>
      </c>
      <c r="I1233" s="168" t="s">
        <v>1200</v>
      </c>
      <c r="J1233" s="168" t="s">
        <v>770</v>
      </c>
      <c r="L1233" s="76"/>
    </row>
    <row r="1234" spans="2:12" ht="12" x14ac:dyDescent="0.15">
      <c r="B1234" s="121">
        <v>13</v>
      </c>
      <c r="C1234" s="167" t="s">
        <v>70</v>
      </c>
      <c r="D1234" s="168" t="s">
        <v>770</v>
      </c>
      <c r="E1234" s="168" t="s">
        <v>770</v>
      </c>
      <c r="F1234" s="169" t="s">
        <v>770</v>
      </c>
      <c r="G1234" s="122" t="s">
        <v>770</v>
      </c>
      <c r="H1234" s="170">
        <v>6878133.9369999999</v>
      </c>
      <c r="I1234" s="168" t="s">
        <v>1200</v>
      </c>
      <c r="J1234" s="168" t="s">
        <v>770</v>
      </c>
      <c r="L1234" s="76"/>
    </row>
    <row r="1235" spans="2:12" ht="12" x14ac:dyDescent="0.15">
      <c r="B1235" s="121">
        <v>13</v>
      </c>
      <c r="C1235" s="167" t="s">
        <v>70</v>
      </c>
      <c r="D1235" s="168" t="s">
        <v>1497</v>
      </c>
      <c r="E1235" s="168" t="s">
        <v>770</v>
      </c>
      <c r="F1235" s="169" t="s">
        <v>770</v>
      </c>
      <c r="G1235" s="122" t="s">
        <v>770</v>
      </c>
      <c r="H1235" s="170">
        <v>-6878133.9369999999</v>
      </c>
      <c r="I1235" s="168" t="s">
        <v>1200</v>
      </c>
      <c r="J1235" s="168" t="s">
        <v>770</v>
      </c>
      <c r="L1235" s="76"/>
    </row>
    <row r="1236" spans="2:12" ht="12" x14ac:dyDescent="0.15">
      <c r="B1236" s="121">
        <v>13</v>
      </c>
      <c r="C1236" s="167" t="s">
        <v>70</v>
      </c>
      <c r="D1236" s="168" t="s">
        <v>1498</v>
      </c>
      <c r="E1236" s="168" t="s">
        <v>770</v>
      </c>
      <c r="F1236" s="169" t="s">
        <v>770</v>
      </c>
      <c r="G1236" s="122" t="s">
        <v>770</v>
      </c>
      <c r="H1236" s="170">
        <v>75505.472999999998</v>
      </c>
      <c r="I1236" s="168" t="s">
        <v>1200</v>
      </c>
      <c r="J1236" s="168" t="s">
        <v>770</v>
      </c>
      <c r="L1236" s="76"/>
    </row>
    <row r="1237" spans="2:12" ht="12" x14ac:dyDescent="0.15">
      <c r="B1237" s="121">
        <v>13</v>
      </c>
      <c r="C1237" s="167" t="s">
        <v>70</v>
      </c>
      <c r="D1237" s="168" t="s">
        <v>770</v>
      </c>
      <c r="E1237" s="168" t="s">
        <v>770</v>
      </c>
      <c r="F1237" s="169" t="s">
        <v>770</v>
      </c>
      <c r="G1237" s="122" t="s">
        <v>770</v>
      </c>
      <c r="H1237" s="170">
        <v>4267264.6119999997</v>
      </c>
      <c r="I1237" s="168" t="s">
        <v>1200</v>
      </c>
      <c r="J1237" s="168" t="s">
        <v>770</v>
      </c>
      <c r="L1237" s="76"/>
    </row>
    <row r="1238" spans="2:12" ht="12" x14ac:dyDescent="0.15">
      <c r="B1238" s="121">
        <v>13</v>
      </c>
      <c r="C1238" s="167" t="s">
        <v>70</v>
      </c>
      <c r="D1238" s="168" t="s">
        <v>1229</v>
      </c>
      <c r="E1238" s="168" t="s">
        <v>770</v>
      </c>
      <c r="F1238" s="169" t="s">
        <v>770</v>
      </c>
      <c r="G1238" s="122" t="s">
        <v>770</v>
      </c>
      <c r="H1238" s="170">
        <v>-208290.96000000002</v>
      </c>
      <c r="I1238" s="168" t="s">
        <v>1200</v>
      </c>
      <c r="J1238" s="168" t="s">
        <v>770</v>
      </c>
      <c r="L1238" s="76"/>
    </row>
    <row r="1239" spans="2:12" ht="12" x14ac:dyDescent="0.15">
      <c r="B1239" s="121">
        <v>13</v>
      </c>
      <c r="C1239" s="167" t="s">
        <v>70</v>
      </c>
      <c r="D1239" s="168" t="s">
        <v>1230</v>
      </c>
      <c r="E1239" s="168" t="s">
        <v>770</v>
      </c>
      <c r="F1239" s="169" t="s">
        <v>770</v>
      </c>
      <c r="G1239" s="122" t="s">
        <v>770</v>
      </c>
      <c r="H1239" s="170">
        <v>-34715.160000000003</v>
      </c>
      <c r="I1239" s="168" t="s">
        <v>1200</v>
      </c>
      <c r="J1239" s="168" t="s">
        <v>770</v>
      </c>
      <c r="L1239" s="76"/>
    </row>
    <row r="1240" spans="2:12" ht="12" x14ac:dyDescent="0.15">
      <c r="B1240" s="121">
        <v>13</v>
      </c>
      <c r="C1240" s="167" t="s">
        <v>70</v>
      </c>
      <c r="D1240" s="168" t="s">
        <v>1211</v>
      </c>
      <c r="E1240" s="168" t="s">
        <v>770</v>
      </c>
      <c r="F1240" s="169" t="s">
        <v>770</v>
      </c>
      <c r="G1240" s="122" t="s">
        <v>770</v>
      </c>
      <c r="H1240" s="170">
        <v>-231434.40000000002</v>
      </c>
      <c r="I1240" s="168" t="s">
        <v>1200</v>
      </c>
      <c r="J1240" s="168" t="s">
        <v>770</v>
      </c>
      <c r="L1240" s="76"/>
    </row>
    <row r="1241" spans="2:12" ht="12" x14ac:dyDescent="0.15">
      <c r="B1241" s="121">
        <v>13</v>
      </c>
      <c r="C1241" s="167" t="s">
        <v>70</v>
      </c>
      <c r="D1241" s="168" t="s">
        <v>1220</v>
      </c>
      <c r="E1241" s="168" t="s">
        <v>770</v>
      </c>
      <c r="F1241" s="169" t="s">
        <v>770</v>
      </c>
      <c r="G1241" s="122" t="s">
        <v>770</v>
      </c>
      <c r="H1241" s="170">
        <v>-4267264.6119999997</v>
      </c>
      <c r="I1241" s="168" t="s">
        <v>1200</v>
      </c>
      <c r="J1241" s="168" t="s">
        <v>770</v>
      </c>
      <c r="L1241" s="76"/>
    </row>
    <row r="1242" spans="2:12" ht="12" x14ac:dyDescent="0.15">
      <c r="B1242" s="121">
        <v>13</v>
      </c>
      <c r="C1242" s="167" t="s">
        <v>70</v>
      </c>
      <c r="D1242" s="168" t="s">
        <v>770</v>
      </c>
      <c r="E1242" s="168" t="s">
        <v>770</v>
      </c>
      <c r="F1242" s="169" t="s">
        <v>770</v>
      </c>
      <c r="G1242" s="122" t="s">
        <v>770</v>
      </c>
      <c r="H1242" s="170">
        <v>-534613.46400000004</v>
      </c>
      <c r="I1242" s="168" t="s">
        <v>1200</v>
      </c>
      <c r="J1242" s="168" t="s">
        <v>770</v>
      </c>
      <c r="L1242" s="76"/>
    </row>
    <row r="1243" spans="2:12" ht="12" x14ac:dyDescent="0.15">
      <c r="B1243" s="121">
        <v>13</v>
      </c>
      <c r="C1243" s="167" t="s">
        <v>70</v>
      </c>
      <c r="D1243" s="168" t="s">
        <v>1499</v>
      </c>
      <c r="E1243" s="168" t="s">
        <v>770</v>
      </c>
      <c r="F1243" s="169" t="s">
        <v>770</v>
      </c>
      <c r="G1243" s="122" t="s">
        <v>770</v>
      </c>
      <c r="H1243" s="170">
        <v>-48601.224000000002</v>
      </c>
      <c r="I1243" s="168" t="s">
        <v>1200</v>
      </c>
      <c r="J1243" s="168" t="s">
        <v>770</v>
      </c>
      <c r="L1243" s="76"/>
    </row>
    <row r="1244" spans="2:12" ht="12" x14ac:dyDescent="0.15">
      <c r="B1244" s="121">
        <v>13</v>
      </c>
      <c r="C1244" s="167" t="s">
        <v>70</v>
      </c>
      <c r="D1244" s="168" t="s">
        <v>1153</v>
      </c>
      <c r="E1244" s="168" t="s">
        <v>770</v>
      </c>
      <c r="F1244" s="169" t="s">
        <v>770</v>
      </c>
      <c r="G1244" s="122" t="s">
        <v>770</v>
      </c>
      <c r="H1244" s="170">
        <v>32786.54</v>
      </c>
      <c r="I1244" s="168" t="s">
        <v>1200</v>
      </c>
      <c r="J1244" s="168" t="s">
        <v>770</v>
      </c>
      <c r="L1244" s="76"/>
    </row>
    <row r="1245" spans="2:12" ht="12" x14ac:dyDescent="0.15">
      <c r="B1245" s="121">
        <v>13</v>
      </c>
      <c r="C1245" s="167" t="s">
        <v>70</v>
      </c>
      <c r="D1245" s="168" t="s">
        <v>1500</v>
      </c>
      <c r="E1245" s="168" t="s">
        <v>770</v>
      </c>
      <c r="F1245" s="169" t="s">
        <v>770</v>
      </c>
      <c r="G1245" s="122" t="s">
        <v>770</v>
      </c>
      <c r="H1245" s="170">
        <v>286400070</v>
      </c>
      <c r="I1245" s="168" t="s">
        <v>1200</v>
      </c>
      <c r="J1245" s="168" t="s">
        <v>770</v>
      </c>
      <c r="L1245" s="76"/>
    </row>
    <row r="1246" spans="2:12" ht="12" x14ac:dyDescent="0.15">
      <c r="B1246" s="121">
        <v>13</v>
      </c>
      <c r="C1246" s="167" t="s">
        <v>70</v>
      </c>
      <c r="D1246" s="168" t="s">
        <v>1500</v>
      </c>
      <c r="E1246" s="168" t="s">
        <v>770</v>
      </c>
      <c r="F1246" s="169" t="s">
        <v>770</v>
      </c>
      <c r="G1246" s="122" t="s">
        <v>770</v>
      </c>
      <c r="H1246" s="170">
        <v>-286400070</v>
      </c>
      <c r="I1246" s="168" t="s">
        <v>1200</v>
      </c>
      <c r="J1246" s="168" t="s">
        <v>770</v>
      </c>
      <c r="L1246" s="76"/>
    </row>
    <row r="1247" spans="2:12" ht="12" x14ac:dyDescent="0.15">
      <c r="B1247" s="121">
        <v>13</v>
      </c>
      <c r="C1247" s="167" t="s">
        <v>70</v>
      </c>
      <c r="D1247" s="168" t="s">
        <v>1500</v>
      </c>
      <c r="E1247" s="168" t="s">
        <v>770</v>
      </c>
      <c r="F1247" s="169" t="s">
        <v>770</v>
      </c>
      <c r="G1247" s="122" t="s">
        <v>770</v>
      </c>
      <c r="H1247" s="170">
        <v>305493408</v>
      </c>
      <c r="I1247" s="168" t="s">
        <v>1200</v>
      </c>
      <c r="J1247" s="168" t="s">
        <v>770</v>
      </c>
      <c r="L1247" s="76"/>
    </row>
    <row r="1248" spans="2:12" ht="12" x14ac:dyDescent="0.15">
      <c r="B1248" s="121">
        <v>13</v>
      </c>
      <c r="C1248" s="167" t="s">
        <v>70</v>
      </c>
      <c r="D1248" s="168" t="s">
        <v>770</v>
      </c>
      <c r="E1248" s="168" t="s">
        <v>770</v>
      </c>
      <c r="F1248" s="169" t="s">
        <v>770</v>
      </c>
      <c r="G1248" s="122" t="s">
        <v>770</v>
      </c>
      <c r="H1248" s="170">
        <v>-16200408</v>
      </c>
      <c r="I1248" s="168" t="s">
        <v>1200</v>
      </c>
      <c r="J1248" s="168" t="s">
        <v>770</v>
      </c>
      <c r="L1248" s="76"/>
    </row>
    <row r="1249" spans="2:12" ht="12" x14ac:dyDescent="0.15">
      <c r="B1249" s="121">
        <v>13</v>
      </c>
      <c r="C1249" s="167" t="s">
        <v>70</v>
      </c>
      <c r="D1249" s="168" t="s">
        <v>1152</v>
      </c>
      <c r="E1249" s="168" t="s">
        <v>770</v>
      </c>
      <c r="F1249" s="169" t="s">
        <v>770</v>
      </c>
      <c r="G1249" s="122" t="s">
        <v>770</v>
      </c>
      <c r="H1249" s="170">
        <v>235498388.06400001</v>
      </c>
      <c r="I1249" s="168" t="s">
        <v>1200</v>
      </c>
      <c r="J1249" s="168" t="s">
        <v>770</v>
      </c>
      <c r="L1249" s="76"/>
    </row>
    <row r="1250" spans="2:12" ht="12" x14ac:dyDescent="0.15">
      <c r="B1250" s="121">
        <v>13</v>
      </c>
      <c r="C1250" s="167" t="s">
        <v>70</v>
      </c>
      <c r="D1250" s="168" t="s">
        <v>1152</v>
      </c>
      <c r="E1250" s="168" t="s">
        <v>770</v>
      </c>
      <c r="F1250" s="169" t="s">
        <v>770</v>
      </c>
      <c r="G1250" s="122" t="s">
        <v>770</v>
      </c>
      <c r="H1250" s="170">
        <v>-235498388.06400001</v>
      </c>
      <c r="I1250" s="168" t="s">
        <v>1200</v>
      </c>
      <c r="J1250" s="168" t="s">
        <v>770</v>
      </c>
      <c r="L1250" s="76"/>
    </row>
    <row r="1251" spans="2:12" ht="12" x14ac:dyDescent="0.15">
      <c r="B1251" s="121">
        <v>13</v>
      </c>
      <c r="C1251" s="167" t="s">
        <v>70</v>
      </c>
      <c r="D1251" s="168" t="s">
        <v>1501</v>
      </c>
      <c r="E1251" s="168" t="s">
        <v>770</v>
      </c>
      <c r="F1251" s="169" t="s">
        <v>770</v>
      </c>
      <c r="G1251" s="122" t="s">
        <v>770</v>
      </c>
      <c r="H1251" s="170">
        <v>-2430254.0620000004</v>
      </c>
      <c r="I1251" s="168" t="s">
        <v>1200</v>
      </c>
      <c r="J1251" s="168" t="s">
        <v>770</v>
      </c>
      <c r="L1251" s="76"/>
    </row>
    <row r="1252" spans="2:12" ht="12" x14ac:dyDescent="0.15">
      <c r="B1252" s="121">
        <v>13</v>
      </c>
      <c r="C1252" s="167" t="s">
        <v>70</v>
      </c>
      <c r="D1252" s="168" t="s">
        <v>1502</v>
      </c>
      <c r="E1252" s="168" t="s">
        <v>770</v>
      </c>
      <c r="F1252" s="169" t="s">
        <v>770</v>
      </c>
      <c r="G1252" s="122" t="s">
        <v>770</v>
      </c>
      <c r="H1252" s="170">
        <v>-330276.17499999999</v>
      </c>
      <c r="I1252" s="168" t="s">
        <v>1200</v>
      </c>
      <c r="J1252" s="168" t="s">
        <v>770</v>
      </c>
      <c r="L1252" s="76"/>
    </row>
    <row r="1253" spans="2:12" ht="12" x14ac:dyDescent="0.15">
      <c r="B1253" s="121">
        <v>13</v>
      </c>
      <c r="C1253" s="167" t="s">
        <v>70</v>
      </c>
      <c r="D1253" s="168" t="s">
        <v>1503</v>
      </c>
      <c r="E1253" s="168" t="s">
        <v>770</v>
      </c>
      <c r="F1253" s="169" t="s">
        <v>770</v>
      </c>
      <c r="G1253" s="122" t="s">
        <v>770</v>
      </c>
      <c r="H1253" s="170">
        <v>167507782.89400002</v>
      </c>
      <c r="I1253" s="168" t="s">
        <v>1200</v>
      </c>
      <c r="J1253" s="168" t="s">
        <v>770</v>
      </c>
      <c r="L1253" s="76"/>
    </row>
    <row r="1254" spans="2:12" ht="12" x14ac:dyDescent="0.15">
      <c r="B1254" s="121">
        <v>13</v>
      </c>
      <c r="C1254" s="167" t="s">
        <v>70</v>
      </c>
      <c r="D1254" s="168" t="s">
        <v>1504</v>
      </c>
      <c r="E1254" s="168" t="s">
        <v>770</v>
      </c>
      <c r="F1254" s="169" t="s">
        <v>770</v>
      </c>
      <c r="G1254" s="122" t="s">
        <v>770</v>
      </c>
      <c r="H1254" s="170">
        <v>289293000</v>
      </c>
      <c r="I1254" s="168" t="s">
        <v>1200</v>
      </c>
      <c r="J1254" s="168" t="s">
        <v>770</v>
      </c>
      <c r="L1254" s="76"/>
    </row>
    <row r="1255" spans="2:12" ht="12" x14ac:dyDescent="0.15">
      <c r="B1255" s="121">
        <v>13</v>
      </c>
      <c r="C1255" s="167" t="s">
        <v>70</v>
      </c>
      <c r="D1255" s="168" t="s">
        <v>1505</v>
      </c>
      <c r="E1255" s="168" t="s">
        <v>770</v>
      </c>
      <c r="F1255" s="169" t="s">
        <v>770</v>
      </c>
      <c r="G1255" s="122" t="s">
        <v>770</v>
      </c>
      <c r="H1255" s="170">
        <v>290218737.60000002</v>
      </c>
      <c r="I1255" s="168" t="s">
        <v>1200</v>
      </c>
      <c r="J1255" s="168" t="s">
        <v>770</v>
      </c>
      <c r="L1255" s="76"/>
    </row>
    <row r="1256" spans="2:12" ht="12" x14ac:dyDescent="0.15">
      <c r="B1256" s="121">
        <v>13</v>
      </c>
      <c r="C1256" s="167" t="s">
        <v>70</v>
      </c>
      <c r="D1256" s="168" t="s">
        <v>1505</v>
      </c>
      <c r="E1256" s="168" t="s">
        <v>770</v>
      </c>
      <c r="F1256" s="169" t="s">
        <v>770</v>
      </c>
      <c r="G1256" s="122" t="s">
        <v>770</v>
      </c>
      <c r="H1256" s="170">
        <v>-925737.60000000009</v>
      </c>
      <c r="I1256" s="168" t="s">
        <v>1200</v>
      </c>
      <c r="J1256" s="168" t="s">
        <v>770</v>
      </c>
      <c r="L1256" s="76"/>
    </row>
    <row r="1257" spans="2:12" ht="12" x14ac:dyDescent="0.15">
      <c r="B1257" s="121">
        <v>13</v>
      </c>
      <c r="C1257" s="167" t="s">
        <v>70</v>
      </c>
      <c r="D1257" s="168" t="s">
        <v>1504</v>
      </c>
      <c r="E1257" s="168" t="s">
        <v>770</v>
      </c>
      <c r="F1257" s="169" t="s">
        <v>770</v>
      </c>
      <c r="G1257" s="122" t="s">
        <v>770</v>
      </c>
      <c r="H1257" s="170">
        <v>-289293000</v>
      </c>
      <c r="I1257" s="168" t="s">
        <v>1200</v>
      </c>
      <c r="J1257" s="168" t="s">
        <v>770</v>
      </c>
      <c r="L1257" s="76"/>
    </row>
    <row r="1258" spans="2:12" ht="12" x14ac:dyDescent="0.15">
      <c r="B1258" s="121">
        <v>13</v>
      </c>
      <c r="C1258" s="167" t="s">
        <v>70</v>
      </c>
      <c r="D1258" s="168" t="s">
        <v>770</v>
      </c>
      <c r="E1258" s="168" t="s">
        <v>770</v>
      </c>
      <c r="F1258" s="169" t="s">
        <v>770</v>
      </c>
      <c r="G1258" s="122" t="s">
        <v>770</v>
      </c>
      <c r="H1258" s="170">
        <v>-196719.24</v>
      </c>
      <c r="I1258" s="168" t="s">
        <v>1200</v>
      </c>
      <c r="J1258" s="168" t="s">
        <v>770</v>
      </c>
      <c r="L1258" s="76"/>
    </row>
    <row r="1259" spans="2:12" ht="12" x14ac:dyDescent="0.15">
      <c r="B1259" s="121">
        <v>13</v>
      </c>
      <c r="C1259" s="167" t="s">
        <v>70</v>
      </c>
      <c r="D1259" s="168" t="s">
        <v>770</v>
      </c>
      <c r="E1259" s="168" t="s">
        <v>770</v>
      </c>
      <c r="F1259" s="169" t="s">
        <v>770</v>
      </c>
      <c r="G1259" s="122" t="s">
        <v>770</v>
      </c>
      <c r="H1259" s="170">
        <v>59787.22</v>
      </c>
      <c r="I1259" s="168" t="s">
        <v>1200</v>
      </c>
      <c r="J1259" s="168" t="s">
        <v>770</v>
      </c>
      <c r="L1259" s="76"/>
    </row>
    <row r="1260" spans="2:12" ht="12" x14ac:dyDescent="0.15">
      <c r="B1260" s="121">
        <v>13</v>
      </c>
      <c r="C1260" s="167" t="s">
        <v>70</v>
      </c>
      <c r="D1260" s="168" t="s">
        <v>770</v>
      </c>
      <c r="E1260" s="168" t="s">
        <v>770</v>
      </c>
      <c r="F1260" s="169" t="s">
        <v>770</v>
      </c>
      <c r="G1260" s="122" t="s">
        <v>770</v>
      </c>
      <c r="H1260" s="170">
        <v>-59787.22</v>
      </c>
      <c r="I1260" s="168" t="s">
        <v>1200</v>
      </c>
      <c r="J1260" s="168" t="s">
        <v>770</v>
      </c>
      <c r="L1260" s="76"/>
    </row>
    <row r="1261" spans="2:12" ht="12" x14ac:dyDescent="0.15">
      <c r="B1261" s="121">
        <v>13</v>
      </c>
      <c r="C1261" s="167" t="s">
        <v>70</v>
      </c>
      <c r="D1261" s="168" t="s">
        <v>770</v>
      </c>
      <c r="E1261" s="168" t="s">
        <v>770</v>
      </c>
      <c r="F1261" s="169" t="s">
        <v>770</v>
      </c>
      <c r="G1261" s="122" t="s">
        <v>770</v>
      </c>
      <c r="H1261" s="170">
        <v>59787.22</v>
      </c>
      <c r="I1261" s="168" t="s">
        <v>1200</v>
      </c>
      <c r="J1261" s="168" t="s">
        <v>770</v>
      </c>
      <c r="L1261" s="76"/>
    </row>
    <row r="1262" spans="2:12" ht="12" x14ac:dyDescent="0.15">
      <c r="B1262" s="121">
        <v>13</v>
      </c>
      <c r="C1262" s="167" t="s">
        <v>70</v>
      </c>
      <c r="D1262" s="168" t="s">
        <v>1497</v>
      </c>
      <c r="E1262" s="168" t="s">
        <v>770</v>
      </c>
      <c r="F1262" s="169" t="s">
        <v>770</v>
      </c>
      <c r="G1262" s="122" t="s">
        <v>770</v>
      </c>
      <c r="H1262" s="170">
        <v>6878133.9369999999</v>
      </c>
      <c r="I1262" s="168" t="s">
        <v>1200</v>
      </c>
      <c r="J1262" s="168" t="s">
        <v>770</v>
      </c>
      <c r="L1262" s="76"/>
    </row>
    <row r="1263" spans="2:12" ht="12" x14ac:dyDescent="0.15">
      <c r="B1263" s="121">
        <v>13</v>
      </c>
      <c r="C1263" s="167" t="s">
        <v>70</v>
      </c>
      <c r="D1263" s="168" t="s">
        <v>1220</v>
      </c>
      <c r="E1263" s="168" t="s">
        <v>770</v>
      </c>
      <c r="F1263" s="169" t="s">
        <v>770</v>
      </c>
      <c r="G1263" s="122" t="s">
        <v>770</v>
      </c>
      <c r="H1263" s="170">
        <v>4267264.6119999997</v>
      </c>
      <c r="I1263" s="168" t="s">
        <v>1200</v>
      </c>
      <c r="J1263" s="168" t="s">
        <v>770</v>
      </c>
      <c r="L1263" s="76"/>
    </row>
    <row r="1264" spans="2:12" ht="12" x14ac:dyDescent="0.15">
      <c r="B1264" s="121">
        <v>13</v>
      </c>
      <c r="C1264" s="167" t="s">
        <v>70</v>
      </c>
      <c r="D1264" s="168" t="s">
        <v>770</v>
      </c>
      <c r="E1264" s="168" t="s">
        <v>770</v>
      </c>
      <c r="F1264" s="169" t="s">
        <v>770</v>
      </c>
      <c r="G1264" s="122" t="s">
        <v>770</v>
      </c>
      <c r="H1264" s="170">
        <v>2833239.2110000001</v>
      </c>
      <c r="I1264" s="168" t="s">
        <v>1200</v>
      </c>
      <c r="J1264" s="168" t="s">
        <v>770</v>
      </c>
      <c r="L1264" s="76"/>
    </row>
    <row r="1265" spans="2:12" ht="12" x14ac:dyDescent="0.15">
      <c r="B1265" s="121">
        <v>13</v>
      </c>
      <c r="C1265" s="167" t="s">
        <v>70</v>
      </c>
      <c r="D1265" s="168" t="s">
        <v>770</v>
      </c>
      <c r="E1265" s="168" t="s">
        <v>770</v>
      </c>
      <c r="F1265" s="169" t="s">
        <v>770</v>
      </c>
      <c r="G1265" s="122" t="s">
        <v>770</v>
      </c>
      <c r="H1265" s="170">
        <v>383313.22500000003</v>
      </c>
      <c r="I1265" s="168" t="s">
        <v>1200</v>
      </c>
      <c r="J1265" s="168" t="s">
        <v>770</v>
      </c>
      <c r="L1265" s="76"/>
    </row>
    <row r="1266" spans="2:12" ht="12" x14ac:dyDescent="0.15">
      <c r="B1266" s="121">
        <v>13</v>
      </c>
      <c r="C1266" s="167" t="s">
        <v>70</v>
      </c>
      <c r="D1266" s="168" t="s">
        <v>770</v>
      </c>
      <c r="E1266" s="168" t="s">
        <v>770</v>
      </c>
      <c r="F1266" s="169" t="s">
        <v>770</v>
      </c>
      <c r="G1266" s="122" t="s">
        <v>770</v>
      </c>
      <c r="H1266" s="170">
        <v>2864772.148</v>
      </c>
      <c r="I1266" s="168" t="s">
        <v>1200</v>
      </c>
      <c r="J1266" s="168" t="s">
        <v>770</v>
      </c>
      <c r="L1266" s="76"/>
    </row>
    <row r="1267" spans="2:12" ht="12" x14ac:dyDescent="0.15">
      <c r="B1267" s="121">
        <v>13</v>
      </c>
      <c r="C1267" s="167" t="s">
        <v>70</v>
      </c>
      <c r="D1267" s="168" t="s">
        <v>1251</v>
      </c>
      <c r="E1267" s="168" t="s">
        <v>770</v>
      </c>
      <c r="F1267" s="169" t="s">
        <v>770</v>
      </c>
      <c r="G1267" s="122" t="s">
        <v>770</v>
      </c>
      <c r="H1267" s="170">
        <v>-96816.724000000002</v>
      </c>
      <c r="I1267" s="168" t="s">
        <v>1200</v>
      </c>
      <c r="J1267" s="168" t="s">
        <v>770</v>
      </c>
      <c r="L1267" s="76"/>
    </row>
    <row r="1268" spans="2:12" ht="12" x14ac:dyDescent="0.15">
      <c r="B1268" s="121">
        <v>13</v>
      </c>
      <c r="C1268" s="167" t="s">
        <v>70</v>
      </c>
      <c r="D1268" s="168" t="s">
        <v>1506</v>
      </c>
      <c r="E1268" s="168" t="s">
        <v>770</v>
      </c>
      <c r="F1268" s="169" t="s">
        <v>770</v>
      </c>
      <c r="G1268" s="122" t="s">
        <v>770</v>
      </c>
      <c r="H1268" s="170">
        <v>-2833239.2110000001</v>
      </c>
      <c r="I1268" s="168" t="s">
        <v>1200</v>
      </c>
      <c r="J1268" s="168" t="s">
        <v>770</v>
      </c>
      <c r="L1268" s="76"/>
    </row>
    <row r="1269" spans="2:12" ht="12" x14ac:dyDescent="0.15">
      <c r="B1269" s="121">
        <v>13</v>
      </c>
      <c r="C1269" s="167" t="s">
        <v>70</v>
      </c>
      <c r="D1269" s="168" t="s">
        <v>1506</v>
      </c>
      <c r="E1269" s="168" t="s">
        <v>770</v>
      </c>
      <c r="F1269" s="169" t="s">
        <v>770</v>
      </c>
      <c r="G1269" s="122" t="s">
        <v>770</v>
      </c>
      <c r="H1269" s="170">
        <v>-383313.22500000003</v>
      </c>
      <c r="I1269" s="168" t="s">
        <v>1200</v>
      </c>
      <c r="J1269" s="168" t="s">
        <v>770</v>
      </c>
      <c r="L1269" s="76"/>
    </row>
    <row r="1270" spans="2:12" ht="12" x14ac:dyDescent="0.15">
      <c r="B1270" s="121">
        <v>13</v>
      </c>
      <c r="C1270" s="167" t="s">
        <v>70</v>
      </c>
      <c r="D1270" s="168" t="s">
        <v>1506</v>
      </c>
      <c r="E1270" s="168" t="s">
        <v>770</v>
      </c>
      <c r="F1270" s="169" t="s">
        <v>770</v>
      </c>
      <c r="G1270" s="122" t="s">
        <v>770</v>
      </c>
      <c r="H1270" s="170">
        <v>-2864772.148</v>
      </c>
      <c r="I1270" s="168" t="s">
        <v>1200</v>
      </c>
      <c r="J1270" s="168" t="s">
        <v>770</v>
      </c>
      <c r="L1270" s="76"/>
    </row>
    <row r="1271" spans="2:12" ht="12" x14ac:dyDescent="0.15">
      <c r="B1271" s="121">
        <v>13</v>
      </c>
      <c r="C1271" s="167" t="s">
        <v>70</v>
      </c>
      <c r="D1271" s="168" t="s">
        <v>1251</v>
      </c>
      <c r="E1271" s="168" t="s">
        <v>770</v>
      </c>
      <c r="F1271" s="169" t="s">
        <v>770</v>
      </c>
      <c r="G1271" s="122" t="s">
        <v>770</v>
      </c>
      <c r="H1271" s="170">
        <v>96816.724000000002</v>
      </c>
      <c r="I1271" s="168" t="s">
        <v>1200</v>
      </c>
      <c r="J1271" s="168" t="s">
        <v>770</v>
      </c>
      <c r="L1271" s="76"/>
    </row>
    <row r="1272" spans="2:12" ht="12" x14ac:dyDescent="0.15">
      <c r="B1272" s="121">
        <v>13</v>
      </c>
      <c r="C1272" s="167" t="s">
        <v>70</v>
      </c>
      <c r="D1272" s="168" t="s">
        <v>770</v>
      </c>
      <c r="E1272" s="168" t="s">
        <v>770</v>
      </c>
      <c r="F1272" s="169" t="s">
        <v>770</v>
      </c>
      <c r="G1272" s="122" t="s">
        <v>770</v>
      </c>
      <c r="H1272" s="170">
        <v>8719483.8820000011</v>
      </c>
      <c r="I1272" s="168" t="s">
        <v>1200</v>
      </c>
      <c r="J1272" s="168" t="s">
        <v>770</v>
      </c>
      <c r="L1272" s="76"/>
    </row>
    <row r="1273" spans="2:12" ht="12" x14ac:dyDescent="0.15">
      <c r="B1273" s="121">
        <v>13</v>
      </c>
      <c r="C1273" s="167" t="s">
        <v>70</v>
      </c>
      <c r="D1273" s="168" t="s">
        <v>770</v>
      </c>
      <c r="E1273" s="168" t="s">
        <v>770</v>
      </c>
      <c r="F1273" s="169" t="s">
        <v>770</v>
      </c>
      <c r="G1273" s="122" t="s">
        <v>770</v>
      </c>
      <c r="H1273" s="170">
        <v>9539340.2440000009</v>
      </c>
      <c r="I1273" s="168" t="s">
        <v>1200</v>
      </c>
      <c r="J1273" s="168" t="s">
        <v>770</v>
      </c>
      <c r="L1273" s="76"/>
    </row>
    <row r="1274" spans="2:12" ht="12" x14ac:dyDescent="0.15">
      <c r="B1274" s="121">
        <v>13</v>
      </c>
      <c r="C1274" s="167" t="s">
        <v>70</v>
      </c>
      <c r="D1274" s="168" t="s">
        <v>770</v>
      </c>
      <c r="E1274" s="168" t="s">
        <v>770</v>
      </c>
      <c r="F1274" s="169" t="s">
        <v>770</v>
      </c>
      <c r="G1274" s="122" t="s">
        <v>770</v>
      </c>
      <c r="H1274" s="170">
        <v>9572416.0769999996</v>
      </c>
      <c r="I1274" s="168" t="s">
        <v>1200</v>
      </c>
      <c r="J1274" s="168" t="s">
        <v>770</v>
      </c>
      <c r="L1274" s="76"/>
    </row>
    <row r="1275" spans="2:12" ht="12" x14ac:dyDescent="0.15">
      <c r="B1275" s="121">
        <v>13</v>
      </c>
      <c r="C1275" s="167" t="s">
        <v>70</v>
      </c>
      <c r="D1275" s="168" t="s">
        <v>770</v>
      </c>
      <c r="E1275" s="168" t="s">
        <v>770</v>
      </c>
      <c r="F1275" s="169" t="s">
        <v>770</v>
      </c>
      <c r="G1275" s="122" t="s">
        <v>770</v>
      </c>
      <c r="H1275" s="170">
        <v>10435473.527000001</v>
      </c>
      <c r="I1275" s="168" t="s">
        <v>1200</v>
      </c>
      <c r="J1275" s="168" t="s">
        <v>770</v>
      </c>
      <c r="L1275" s="76"/>
    </row>
    <row r="1276" spans="2:12" ht="12" x14ac:dyDescent="0.15">
      <c r="B1276" s="121">
        <v>13</v>
      </c>
      <c r="C1276" s="167" t="s">
        <v>70</v>
      </c>
      <c r="D1276" s="168" t="s">
        <v>1251</v>
      </c>
      <c r="E1276" s="168" t="s">
        <v>770</v>
      </c>
      <c r="F1276" s="169" t="s">
        <v>770</v>
      </c>
      <c r="G1276" s="122" t="s">
        <v>770</v>
      </c>
      <c r="H1276" s="170">
        <v>20604701.063000001</v>
      </c>
      <c r="I1276" s="168" t="s">
        <v>1200</v>
      </c>
      <c r="J1276" s="168" t="s">
        <v>770</v>
      </c>
      <c r="L1276" s="76"/>
    </row>
    <row r="1277" spans="2:12" ht="12" x14ac:dyDescent="0.15">
      <c r="B1277" s="121">
        <v>13</v>
      </c>
      <c r="C1277" s="167" t="s">
        <v>70</v>
      </c>
      <c r="D1277" s="168" t="s">
        <v>1251</v>
      </c>
      <c r="E1277" s="168" t="s">
        <v>770</v>
      </c>
      <c r="F1277" s="169" t="s">
        <v>770</v>
      </c>
      <c r="G1277" s="122" t="s">
        <v>770</v>
      </c>
      <c r="H1277" s="170">
        <v>10837687.228000002</v>
      </c>
      <c r="I1277" s="168" t="s">
        <v>1200</v>
      </c>
      <c r="J1277" s="168" t="s">
        <v>770</v>
      </c>
      <c r="L1277" s="76"/>
    </row>
    <row r="1278" spans="2:12" ht="12" x14ac:dyDescent="0.15">
      <c r="B1278" s="121">
        <v>13</v>
      </c>
      <c r="C1278" s="167" t="s">
        <v>70</v>
      </c>
      <c r="D1278" s="168" t="s">
        <v>1251</v>
      </c>
      <c r="E1278" s="168" t="s">
        <v>770</v>
      </c>
      <c r="F1278" s="169" t="s">
        <v>770</v>
      </c>
      <c r="G1278" s="122" t="s">
        <v>770</v>
      </c>
      <c r="H1278" s="170">
        <v>13547109.035</v>
      </c>
      <c r="I1278" s="168" t="s">
        <v>1200</v>
      </c>
      <c r="J1278" s="168" t="s">
        <v>770</v>
      </c>
      <c r="L1278" s="76"/>
    </row>
    <row r="1279" spans="2:12" ht="12" x14ac:dyDescent="0.15">
      <c r="B1279" s="121">
        <v>13</v>
      </c>
      <c r="C1279" s="167" t="s">
        <v>70</v>
      </c>
      <c r="D1279" s="168" t="s">
        <v>1251</v>
      </c>
      <c r="E1279" s="168" t="s">
        <v>770</v>
      </c>
      <c r="F1279" s="169" t="s">
        <v>770</v>
      </c>
      <c r="G1279" s="122" t="s">
        <v>770</v>
      </c>
      <c r="H1279" s="170">
        <v>1236341.851</v>
      </c>
      <c r="I1279" s="168" t="s">
        <v>1200</v>
      </c>
      <c r="J1279" s="168" t="s">
        <v>770</v>
      </c>
      <c r="L1279" s="76"/>
    </row>
    <row r="1280" spans="2:12" ht="12" x14ac:dyDescent="0.15">
      <c r="B1280" s="121">
        <v>13</v>
      </c>
      <c r="C1280" s="167" t="s">
        <v>70</v>
      </c>
      <c r="D1280" s="168" t="s">
        <v>1251</v>
      </c>
      <c r="E1280" s="168" t="s">
        <v>770</v>
      </c>
      <c r="F1280" s="169" t="s">
        <v>770</v>
      </c>
      <c r="G1280" s="122" t="s">
        <v>770</v>
      </c>
      <c r="H1280" s="170">
        <v>9876463.0200000014</v>
      </c>
      <c r="I1280" s="168" t="s">
        <v>1200</v>
      </c>
      <c r="J1280" s="168" t="s">
        <v>770</v>
      </c>
      <c r="L1280" s="76"/>
    </row>
    <row r="1281" spans="2:12" ht="12" x14ac:dyDescent="0.15">
      <c r="B1281" s="121">
        <v>13</v>
      </c>
      <c r="C1281" s="167" t="s">
        <v>70</v>
      </c>
      <c r="D1281" s="168" t="s">
        <v>1251</v>
      </c>
      <c r="E1281" s="168" t="s">
        <v>770</v>
      </c>
      <c r="F1281" s="169" t="s">
        <v>770</v>
      </c>
      <c r="G1281" s="122" t="s">
        <v>770</v>
      </c>
      <c r="H1281" s="170">
        <v>10657554.120000001</v>
      </c>
      <c r="I1281" s="168" t="s">
        <v>1200</v>
      </c>
      <c r="J1281" s="168" t="s">
        <v>770</v>
      </c>
      <c r="L1281" s="76"/>
    </row>
    <row r="1282" spans="2:12" ht="12" x14ac:dyDescent="0.15">
      <c r="B1282" s="121">
        <v>13</v>
      </c>
      <c r="C1282" s="167" t="s">
        <v>70</v>
      </c>
      <c r="D1282" s="168" t="s">
        <v>1251</v>
      </c>
      <c r="E1282" s="168" t="s">
        <v>770</v>
      </c>
      <c r="F1282" s="169" t="s">
        <v>770</v>
      </c>
      <c r="G1282" s="122" t="s">
        <v>770</v>
      </c>
      <c r="H1282" s="170">
        <v>8526043.2960000001</v>
      </c>
      <c r="I1282" s="168" t="s">
        <v>1200</v>
      </c>
      <c r="J1282" s="168" t="s">
        <v>770</v>
      </c>
      <c r="L1282" s="76"/>
    </row>
    <row r="1283" spans="2:12" ht="12" x14ac:dyDescent="0.15">
      <c r="B1283" s="121">
        <v>13</v>
      </c>
      <c r="C1283" s="167" t="s">
        <v>70</v>
      </c>
      <c r="D1283" s="168" t="s">
        <v>1251</v>
      </c>
      <c r="E1283" s="168" t="s">
        <v>770</v>
      </c>
      <c r="F1283" s="169" t="s">
        <v>770</v>
      </c>
      <c r="G1283" s="122" t="s">
        <v>770</v>
      </c>
      <c r="H1283" s="170">
        <v>13547109.035</v>
      </c>
      <c r="I1283" s="168" t="s">
        <v>1200</v>
      </c>
      <c r="J1283" s="168" t="s">
        <v>770</v>
      </c>
      <c r="L1283" s="76"/>
    </row>
    <row r="1284" spans="2:12" ht="12" x14ac:dyDescent="0.15">
      <c r="B1284" s="121">
        <v>13</v>
      </c>
      <c r="C1284" s="167" t="s">
        <v>70</v>
      </c>
      <c r="D1284" s="168" t="s">
        <v>1251</v>
      </c>
      <c r="E1284" s="168" t="s">
        <v>770</v>
      </c>
      <c r="F1284" s="169" t="s">
        <v>770</v>
      </c>
      <c r="G1284" s="122" t="s">
        <v>770</v>
      </c>
      <c r="H1284" s="170">
        <v>9647535.8260000013</v>
      </c>
      <c r="I1284" s="168" t="s">
        <v>1200</v>
      </c>
      <c r="J1284" s="168" t="s">
        <v>770</v>
      </c>
      <c r="L1284" s="76"/>
    </row>
    <row r="1285" spans="2:12" ht="12" x14ac:dyDescent="0.15">
      <c r="B1285" s="121">
        <v>13</v>
      </c>
      <c r="C1285" s="167" t="s">
        <v>70</v>
      </c>
      <c r="D1285" s="168" t="s">
        <v>1251</v>
      </c>
      <c r="E1285" s="168" t="s">
        <v>770</v>
      </c>
      <c r="F1285" s="169" t="s">
        <v>770</v>
      </c>
      <c r="G1285" s="122" t="s">
        <v>770</v>
      </c>
      <c r="H1285" s="170">
        <v>8908102.9179999996</v>
      </c>
      <c r="I1285" s="168" t="s">
        <v>1200</v>
      </c>
      <c r="J1285" s="168" t="s">
        <v>770</v>
      </c>
      <c r="L1285" s="76"/>
    </row>
    <row r="1286" spans="2:12" ht="12" x14ac:dyDescent="0.15">
      <c r="B1286" s="121">
        <v>13</v>
      </c>
      <c r="C1286" s="167" t="s">
        <v>70</v>
      </c>
      <c r="D1286" s="168" t="s">
        <v>1251</v>
      </c>
      <c r="E1286" s="168" t="s">
        <v>770</v>
      </c>
      <c r="F1286" s="169" t="s">
        <v>770</v>
      </c>
      <c r="G1286" s="122" t="s">
        <v>770</v>
      </c>
      <c r="H1286" s="170">
        <v>13245569.298</v>
      </c>
      <c r="I1286" s="168" t="s">
        <v>1200</v>
      </c>
      <c r="J1286" s="168" t="s">
        <v>770</v>
      </c>
      <c r="L1286" s="76"/>
    </row>
    <row r="1287" spans="2:12" ht="12" x14ac:dyDescent="0.15">
      <c r="B1287" s="121">
        <v>13</v>
      </c>
      <c r="C1287" s="167" t="s">
        <v>70</v>
      </c>
      <c r="D1287" s="168" t="s">
        <v>1251</v>
      </c>
      <c r="E1287" s="168" t="s">
        <v>770</v>
      </c>
      <c r="F1287" s="169" t="s">
        <v>770</v>
      </c>
      <c r="G1287" s="122" t="s">
        <v>770</v>
      </c>
      <c r="H1287" s="170">
        <v>13596771</v>
      </c>
      <c r="I1287" s="168" t="s">
        <v>1200</v>
      </c>
      <c r="J1287" s="168" t="s">
        <v>770</v>
      </c>
      <c r="L1287" s="76"/>
    </row>
    <row r="1288" spans="2:12" ht="12" x14ac:dyDescent="0.15">
      <c r="B1288" s="121">
        <v>13</v>
      </c>
      <c r="C1288" s="167" t="s">
        <v>70</v>
      </c>
      <c r="D1288" s="168" t="s">
        <v>1251</v>
      </c>
      <c r="E1288" s="168" t="s">
        <v>770</v>
      </c>
      <c r="F1288" s="169" t="s">
        <v>770</v>
      </c>
      <c r="G1288" s="122" t="s">
        <v>770</v>
      </c>
      <c r="H1288" s="170">
        <v>-112052.822</v>
      </c>
      <c r="I1288" s="168" t="s">
        <v>1200</v>
      </c>
      <c r="J1288" s="168" t="s">
        <v>770</v>
      </c>
      <c r="L1288" s="76"/>
    </row>
    <row r="1289" spans="2:12" ht="12" x14ac:dyDescent="0.15">
      <c r="B1289" s="121">
        <v>13</v>
      </c>
      <c r="C1289" s="167" t="s">
        <v>70</v>
      </c>
      <c r="D1289" s="168" t="s">
        <v>1251</v>
      </c>
      <c r="E1289" s="168" t="s">
        <v>770</v>
      </c>
      <c r="F1289" s="169" t="s">
        <v>770</v>
      </c>
      <c r="G1289" s="122" t="s">
        <v>770</v>
      </c>
      <c r="H1289" s="170">
        <v>-136160.57199999999</v>
      </c>
      <c r="I1289" s="168" t="s">
        <v>1200</v>
      </c>
      <c r="J1289" s="168" t="s">
        <v>770</v>
      </c>
      <c r="L1289" s="76"/>
    </row>
    <row r="1290" spans="2:12" ht="12" x14ac:dyDescent="0.15">
      <c r="B1290" s="121">
        <v>13</v>
      </c>
      <c r="C1290" s="167" t="s">
        <v>70</v>
      </c>
      <c r="D1290" s="168" t="s">
        <v>1251</v>
      </c>
      <c r="E1290" s="168" t="s">
        <v>770</v>
      </c>
      <c r="F1290" s="169" t="s">
        <v>770</v>
      </c>
      <c r="G1290" s="122" t="s">
        <v>770</v>
      </c>
      <c r="H1290" s="170">
        <v>-193054.86199999999</v>
      </c>
      <c r="I1290" s="168" t="s">
        <v>1200</v>
      </c>
      <c r="J1290" s="168" t="s">
        <v>770</v>
      </c>
      <c r="L1290" s="76"/>
    </row>
    <row r="1291" spans="2:12" ht="12" x14ac:dyDescent="0.15">
      <c r="B1291" s="121">
        <v>13</v>
      </c>
      <c r="C1291" s="167" t="s">
        <v>70</v>
      </c>
      <c r="D1291" s="168" t="s">
        <v>1251</v>
      </c>
      <c r="E1291" s="168" t="s">
        <v>770</v>
      </c>
      <c r="F1291" s="169" t="s">
        <v>770</v>
      </c>
      <c r="G1291" s="122" t="s">
        <v>770</v>
      </c>
      <c r="H1291" s="170">
        <v>-192862</v>
      </c>
      <c r="I1291" s="168" t="s">
        <v>1200</v>
      </c>
      <c r="J1291" s="168" t="s">
        <v>770</v>
      </c>
      <c r="L1291" s="76"/>
    </row>
    <row r="1292" spans="2:12" ht="12" x14ac:dyDescent="0.15">
      <c r="B1292" s="121">
        <v>13</v>
      </c>
      <c r="C1292" s="167" t="s">
        <v>70</v>
      </c>
      <c r="D1292" s="168" t="s">
        <v>1251</v>
      </c>
      <c r="E1292" s="168" t="s">
        <v>770</v>
      </c>
      <c r="F1292" s="169" t="s">
        <v>770</v>
      </c>
      <c r="G1292" s="122" t="s">
        <v>770</v>
      </c>
      <c r="H1292" s="170">
        <v>-124395.99</v>
      </c>
      <c r="I1292" s="168" t="s">
        <v>1200</v>
      </c>
      <c r="J1292" s="168" t="s">
        <v>770</v>
      </c>
      <c r="L1292" s="76"/>
    </row>
    <row r="1293" spans="2:12" ht="12" x14ac:dyDescent="0.15">
      <c r="B1293" s="121">
        <v>13</v>
      </c>
      <c r="C1293" s="167" t="s">
        <v>70</v>
      </c>
      <c r="D1293" s="168" t="s">
        <v>1251</v>
      </c>
      <c r="E1293" s="168" t="s">
        <v>770</v>
      </c>
      <c r="F1293" s="169" t="s">
        <v>770</v>
      </c>
      <c r="G1293" s="122" t="s">
        <v>770</v>
      </c>
      <c r="H1293" s="170">
        <v>-123913.83500000001</v>
      </c>
      <c r="I1293" s="168" t="s">
        <v>1200</v>
      </c>
      <c r="J1293" s="168" t="s">
        <v>770</v>
      </c>
      <c r="L1293" s="76"/>
    </row>
    <row r="1294" spans="2:12" ht="12" x14ac:dyDescent="0.15">
      <c r="B1294" s="121">
        <v>13</v>
      </c>
      <c r="C1294" s="167" t="s">
        <v>70</v>
      </c>
      <c r="D1294" s="168" t="s">
        <v>1251</v>
      </c>
      <c r="E1294" s="168" t="s">
        <v>770</v>
      </c>
      <c r="F1294" s="169" t="s">
        <v>770</v>
      </c>
      <c r="G1294" s="122" t="s">
        <v>770</v>
      </c>
      <c r="H1294" s="170">
        <v>-123913.83500000001</v>
      </c>
      <c r="I1294" s="168" t="s">
        <v>1200</v>
      </c>
      <c r="J1294" s="168" t="s">
        <v>770</v>
      </c>
      <c r="L1294" s="76"/>
    </row>
    <row r="1295" spans="2:12" ht="12" x14ac:dyDescent="0.15">
      <c r="B1295" s="121">
        <v>13</v>
      </c>
      <c r="C1295" s="167" t="s">
        <v>70</v>
      </c>
      <c r="D1295" s="168" t="s">
        <v>1251</v>
      </c>
      <c r="E1295" s="168" t="s">
        <v>770</v>
      </c>
      <c r="F1295" s="169" t="s">
        <v>770</v>
      </c>
      <c r="G1295" s="122" t="s">
        <v>770</v>
      </c>
      <c r="H1295" s="170">
        <v>-123913.83500000001</v>
      </c>
      <c r="I1295" s="168" t="s">
        <v>1200</v>
      </c>
      <c r="J1295" s="168" t="s">
        <v>770</v>
      </c>
      <c r="L1295" s="76"/>
    </row>
    <row r="1296" spans="2:12" ht="12" x14ac:dyDescent="0.15">
      <c r="B1296" s="121">
        <v>13</v>
      </c>
      <c r="C1296" s="167" t="s">
        <v>70</v>
      </c>
      <c r="D1296" s="168" t="s">
        <v>1251</v>
      </c>
      <c r="E1296" s="168" t="s">
        <v>770</v>
      </c>
      <c r="F1296" s="169" t="s">
        <v>770</v>
      </c>
      <c r="G1296" s="122" t="s">
        <v>770</v>
      </c>
      <c r="H1296" s="170">
        <v>112052.822</v>
      </c>
      <c r="I1296" s="168" t="s">
        <v>1200</v>
      </c>
      <c r="J1296" s="168" t="s">
        <v>770</v>
      </c>
      <c r="L1296" s="76"/>
    </row>
    <row r="1297" spans="2:12" ht="12" x14ac:dyDescent="0.15">
      <c r="B1297" s="121">
        <v>13</v>
      </c>
      <c r="C1297" s="167" t="s">
        <v>70</v>
      </c>
      <c r="D1297" s="168" t="s">
        <v>1251</v>
      </c>
      <c r="E1297" s="168" t="s">
        <v>770</v>
      </c>
      <c r="F1297" s="169" t="s">
        <v>770</v>
      </c>
      <c r="G1297" s="122" t="s">
        <v>770</v>
      </c>
      <c r="H1297" s="170">
        <v>163546.97600000002</v>
      </c>
      <c r="I1297" s="168" t="s">
        <v>1200</v>
      </c>
      <c r="J1297" s="168" t="s">
        <v>770</v>
      </c>
      <c r="L1297" s="76"/>
    </row>
    <row r="1298" spans="2:12" ht="12" x14ac:dyDescent="0.15">
      <c r="B1298" s="121">
        <v>13</v>
      </c>
      <c r="C1298" s="167" t="s">
        <v>70</v>
      </c>
      <c r="D1298" s="168" t="s">
        <v>1251</v>
      </c>
      <c r="E1298" s="168" t="s">
        <v>770</v>
      </c>
      <c r="F1298" s="169" t="s">
        <v>770</v>
      </c>
      <c r="G1298" s="122" t="s">
        <v>770</v>
      </c>
      <c r="H1298" s="170">
        <v>136160.57199999999</v>
      </c>
      <c r="I1298" s="168" t="s">
        <v>1200</v>
      </c>
      <c r="J1298" s="168" t="s">
        <v>770</v>
      </c>
      <c r="L1298" s="76"/>
    </row>
    <row r="1299" spans="2:12" ht="12" x14ac:dyDescent="0.15">
      <c r="B1299" s="121">
        <v>13</v>
      </c>
      <c r="C1299" s="167" t="s">
        <v>70</v>
      </c>
      <c r="D1299" s="168" t="s">
        <v>1251</v>
      </c>
      <c r="E1299" s="168" t="s">
        <v>770</v>
      </c>
      <c r="F1299" s="169" t="s">
        <v>770</v>
      </c>
      <c r="G1299" s="122" t="s">
        <v>770</v>
      </c>
      <c r="H1299" s="170">
        <v>136160.57199999999</v>
      </c>
      <c r="I1299" s="168" t="s">
        <v>1200</v>
      </c>
      <c r="J1299" s="168" t="s">
        <v>770</v>
      </c>
      <c r="L1299" s="76"/>
    </row>
    <row r="1300" spans="2:12" ht="12" x14ac:dyDescent="0.15">
      <c r="B1300" s="121">
        <v>13</v>
      </c>
      <c r="C1300" s="167" t="s">
        <v>70</v>
      </c>
      <c r="D1300" s="168" t="s">
        <v>1251</v>
      </c>
      <c r="E1300" s="168" t="s">
        <v>770</v>
      </c>
      <c r="F1300" s="169" t="s">
        <v>770</v>
      </c>
      <c r="G1300" s="122" t="s">
        <v>770</v>
      </c>
      <c r="H1300" s="170">
        <v>193054.86199999999</v>
      </c>
      <c r="I1300" s="168" t="s">
        <v>1200</v>
      </c>
      <c r="J1300" s="168" t="s">
        <v>770</v>
      </c>
      <c r="L1300" s="76"/>
    </row>
    <row r="1301" spans="2:12" ht="12" x14ac:dyDescent="0.15">
      <c r="B1301" s="121">
        <v>13</v>
      </c>
      <c r="C1301" s="167" t="s">
        <v>70</v>
      </c>
      <c r="D1301" s="168" t="s">
        <v>1251</v>
      </c>
      <c r="E1301" s="168" t="s">
        <v>770</v>
      </c>
      <c r="F1301" s="169" t="s">
        <v>770</v>
      </c>
      <c r="G1301" s="122" t="s">
        <v>770</v>
      </c>
      <c r="H1301" s="170">
        <v>192862</v>
      </c>
      <c r="I1301" s="168" t="s">
        <v>1200</v>
      </c>
      <c r="J1301" s="168" t="s">
        <v>770</v>
      </c>
      <c r="L1301" s="76"/>
    </row>
    <row r="1302" spans="2:12" ht="12" x14ac:dyDescent="0.15">
      <c r="B1302" s="121">
        <v>13</v>
      </c>
      <c r="C1302" s="167" t="s">
        <v>70</v>
      </c>
      <c r="D1302" s="168" t="s">
        <v>1251</v>
      </c>
      <c r="E1302" s="168" t="s">
        <v>770</v>
      </c>
      <c r="F1302" s="169" t="s">
        <v>770</v>
      </c>
      <c r="G1302" s="122" t="s">
        <v>770</v>
      </c>
      <c r="H1302" s="170">
        <v>124395.99</v>
      </c>
      <c r="I1302" s="168" t="s">
        <v>1200</v>
      </c>
      <c r="J1302" s="168" t="s">
        <v>770</v>
      </c>
      <c r="L1302" s="76"/>
    </row>
    <row r="1303" spans="2:12" ht="12" x14ac:dyDescent="0.15">
      <c r="B1303" s="121">
        <v>13</v>
      </c>
      <c r="C1303" s="167" t="s">
        <v>70</v>
      </c>
      <c r="D1303" s="168" t="s">
        <v>1251</v>
      </c>
      <c r="E1303" s="168" t="s">
        <v>770</v>
      </c>
      <c r="F1303" s="169" t="s">
        <v>770</v>
      </c>
      <c r="G1303" s="122" t="s">
        <v>770</v>
      </c>
      <c r="H1303" s="170">
        <v>123913.83500000001</v>
      </c>
      <c r="I1303" s="168" t="s">
        <v>1200</v>
      </c>
      <c r="J1303" s="168" t="s">
        <v>770</v>
      </c>
      <c r="L1303" s="76"/>
    </row>
    <row r="1304" spans="2:12" ht="12" x14ac:dyDescent="0.15">
      <c r="B1304" s="121">
        <v>13</v>
      </c>
      <c r="C1304" s="167" t="s">
        <v>70</v>
      </c>
      <c r="D1304" s="168" t="s">
        <v>1251</v>
      </c>
      <c r="E1304" s="168" t="s">
        <v>770</v>
      </c>
      <c r="F1304" s="169" t="s">
        <v>770</v>
      </c>
      <c r="G1304" s="122" t="s">
        <v>770</v>
      </c>
      <c r="H1304" s="170">
        <v>123913.83500000001</v>
      </c>
      <c r="I1304" s="168" t="s">
        <v>1200</v>
      </c>
      <c r="J1304" s="168" t="s">
        <v>770</v>
      </c>
      <c r="L1304" s="76"/>
    </row>
    <row r="1305" spans="2:12" ht="12" x14ac:dyDescent="0.15">
      <c r="B1305" s="121">
        <v>13</v>
      </c>
      <c r="C1305" s="167" t="s">
        <v>70</v>
      </c>
      <c r="D1305" s="168" t="s">
        <v>1251</v>
      </c>
      <c r="E1305" s="168" t="s">
        <v>770</v>
      </c>
      <c r="F1305" s="169" t="s">
        <v>770</v>
      </c>
      <c r="G1305" s="122" t="s">
        <v>770</v>
      </c>
      <c r="H1305" s="170">
        <v>123913.83500000001</v>
      </c>
      <c r="I1305" s="168" t="s">
        <v>1200</v>
      </c>
      <c r="J1305" s="168" t="s">
        <v>770</v>
      </c>
      <c r="L1305" s="76"/>
    </row>
    <row r="1306" spans="2:12" ht="12" x14ac:dyDescent="0.15">
      <c r="B1306" s="121">
        <v>13</v>
      </c>
      <c r="C1306" s="167" t="s">
        <v>70</v>
      </c>
      <c r="D1306" s="168" t="s">
        <v>770</v>
      </c>
      <c r="E1306" s="168" t="s">
        <v>770</v>
      </c>
      <c r="F1306" s="169" t="s">
        <v>770</v>
      </c>
      <c r="G1306" s="122" t="s">
        <v>770</v>
      </c>
      <c r="H1306" s="170">
        <v>600090.11300000001</v>
      </c>
      <c r="I1306" s="168" t="s">
        <v>1200</v>
      </c>
      <c r="J1306" s="168" t="s">
        <v>770</v>
      </c>
      <c r="L1306" s="76"/>
    </row>
    <row r="1307" spans="2:12" ht="12" x14ac:dyDescent="0.15">
      <c r="B1307" s="121">
        <v>13</v>
      </c>
      <c r="C1307" s="167" t="s">
        <v>70</v>
      </c>
      <c r="D1307" s="168" t="s">
        <v>770</v>
      </c>
      <c r="E1307" s="168" t="s">
        <v>770</v>
      </c>
      <c r="F1307" s="169" t="s">
        <v>770</v>
      </c>
      <c r="G1307" s="122" t="s">
        <v>770</v>
      </c>
      <c r="H1307" s="170">
        <v>492376.68600000005</v>
      </c>
      <c r="I1307" s="168" t="s">
        <v>1200</v>
      </c>
      <c r="J1307" s="168" t="s">
        <v>770</v>
      </c>
      <c r="L1307" s="76"/>
    </row>
    <row r="1308" spans="2:12" ht="12" x14ac:dyDescent="0.15">
      <c r="B1308" s="121">
        <v>13</v>
      </c>
      <c r="C1308" s="167" t="s">
        <v>70</v>
      </c>
      <c r="D1308" s="168" t="s">
        <v>1251</v>
      </c>
      <c r="E1308" s="168" t="s">
        <v>770</v>
      </c>
      <c r="F1308" s="169" t="s">
        <v>770</v>
      </c>
      <c r="G1308" s="122" t="s">
        <v>770</v>
      </c>
      <c r="H1308" s="170">
        <v>291993.06800000003</v>
      </c>
      <c r="I1308" s="168" t="s">
        <v>1200</v>
      </c>
      <c r="J1308" s="168" t="s">
        <v>770</v>
      </c>
      <c r="L1308" s="76"/>
    </row>
    <row r="1309" spans="2:12" ht="12" x14ac:dyDescent="0.15">
      <c r="B1309" s="121">
        <v>13</v>
      </c>
      <c r="C1309" s="167" t="s">
        <v>70</v>
      </c>
      <c r="D1309" s="168" t="s">
        <v>1251</v>
      </c>
      <c r="E1309" s="168" t="s">
        <v>770</v>
      </c>
      <c r="F1309" s="169" t="s">
        <v>770</v>
      </c>
      <c r="G1309" s="122" t="s">
        <v>770</v>
      </c>
      <c r="H1309" s="170">
        <v>196429.94700000001</v>
      </c>
      <c r="I1309" s="168" t="s">
        <v>1200</v>
      </c>
      <c r="J1309" s="168" t="s">
        <v>770</v>
      </c>
      <c r="L1309" s="76"/>
    </row>
    <row r="1310" spans="2:12" ht="12" x14ac:dyDescent="0.15">
      <c r="B1310" s="121">
        <v>13</v>
      </c>
      <c r="C1310" s="167" t="s">
        <v>70</v>
      </c>
      <c r="D1310" s="168" t="s">
        <v>1251</v>
      </c>
      <c r="E1310" s="168" t="s">
        <v>770</v>
      </c>
      <c r="F1310" s="169" t="s">
        <v>770</v>
      </c>
      <c r="G1310" s="122" t="s">
        <v>770</v>
      </c>
      <c r="H1310" s="170">
        <v>722557.48300000012</v>
      </c>
      <c r="I1310" s="168" t="s">
        <v>1200</v>
      </c>
      <c r="J1310" s="168" t="s">
        <v>770</v>
      </c>
      <c r="L1310" s="76"/>
    </row>
    <row r="1311" spans="2:12" ht="12" x14ac:dyDescent="0.15">
      <c r="B1311" s="121">
        <v>13</v>
      </c>
      <c r="C1311" s="167" t="s">
        <v>70</v>
      </c>
      <c r="D1311" s="168" t="s">
        <v>1251</v>
      </c>
      <c r="E1311" s="168" t="s">
        <v>770</v>
      </c>
      <c r="F1311" s="169" t="s">
        <v>770</v>
      </c>
      <c r="G1311" s="122" t="s">
        <v>770</v>
      </c>
      <c r="H1311" s="170">
        <v>482540.72399999999</v>
      </c>
      <c r="I1311" s="168" t="s">
        <v>1200</v>
      </c>
      <c r="J1311" s="168" t="s">
        <v>770</v>
      </c>
      <c r="L1311" s="76"/>
    </row>
    <row r="1312" spans="2:12" ht="12" x14ac:dyDescent="0.15">
      <c r="B1312" s="121">
        <v>13</v>
      </c>
      <c r="C1312" s="167" t="s">
        <v>70</v>
      </c>
      <c r="D1312" s="168" t="s">
        <v>1251</v>
      </c>
      <c r="E1312" s="168" t="s">
        <v>770</v>
      </c>
      <c r="F1312" s="169" t="s">
        <v>770</v>
      </c>
      <c r="G1312" s="122" t="s">
        <v>770</v>
      </c>
      <c r="H1312" s="170">
        <v>123817.40400000001</v>
      </c>
      <c r="I1312" s="168" t="s">
        <v>1200</v>
      </c>
      <c r="J1312" s="168" t="s">
        <v>770</v>
      </c>
      <c r="L1312" s="76"/>
    </row>
    <row r="1313" spans="2:12" ht="12" x14ac:dyDescent="0.15">
      <c r="B1313" s="121">
        <v>13</v>
      </c>
      <c r="C1313" s="167" t="s">
        <v>70</v>
      </c>
      <c r="D1313" s="168" t="s">
        <v>1251</v>
      </c>
      <c r="E1313" s="168" t="s">
        <v>770</v>
      </c>
      <c r="F1313" s="169" t="s">
        <v>770</v>
      </c>
      <c r="G1313" s="122" t="s">
        <v>770</v>
      </c>
      <c r="H1313" s="170">
        <v>430660.84599999996</v>
      </c>
      <c r="I1313" s="168" t="s">
        <v>1200</v>
      </c>
      <c r="J1313" s="168" t="s">
        <v>770</v>
      </c>
      <c r="L1313" s="76"/>
    </row>
    <row r="1314" spans="2:12" ht="12" x14ac:dyDescent="0.15">
      <c r="B1314" s="121">
        <v>13</v>
      </c>
      <c r="C1314" s="167" t="s">
        <v>70</v>
      </c>
      <c r="D1314" s="168" t="s">
        <v>1251</v>
      </c>
      <c r="E1314" s="168" t="s">
        <v>770</v>
      </c>
      <c r="F1314" s="169" t="s">
        <v>770</v>
      </c>
      <c r="G1314" s="122" t="s">
        <v>770</v>
      </c>
      <c r="H1314" s="170">
        <v>1508373.702</v>
      </c>
      <c r="I1314" s="168" t="s">
        <v>1200</v>
      </c>
      <c r="J1314" s="168" t="s">
        <v>770</v>
      </c>
      <c r="L1314" s="76"/>
    </row>
    <row r="1315" spans="2:12" ht="12" x14ac:dyDescent="0.15">
      <c r="B1315" s="121">
        <v>13</v>
      </c>
      <c r="C1315" s="167" t="s">
        <v>70</v>
      </c>
      <c r="D1315" s="168" t="s">
        <v>770</v>
      </c>
      <c r="E1315" s="168" t="s">
        <v>770</v>
      </c>
      <c r="F1315" s="169" t="s">
        <v>770</v>
      </c>
      <c r="G1315" s="122" t="s">
        <v>770</v>
      </c>
      <c r="H1315" s="170">
        <v>154578.89300000001</v>
      </c>
      <c r="I1315" s="168" t="s">
        <v>1200</v>
      </c>
      <c r="J1315" s="168" t="s">
        <v>770</v>
      </c>
      <c r="L1315" s="76"/>
    </row>
    <row r="1316" spans="2:12" ht="12" x14ac:dyDescent="0.15">
      <c r="B1316" s="121">
        <v>13</v>
      </c>
      <c r="C1316" s="167" t="s">
        <v>70</v>
      </c>
      <c r="D1316" s="168" t="s">
        <v>770</v>
      </c>
      <c r="E1316" s="168" t="s">
        <v>770</v>
      </c>
      <c r="F1316" s="169" t="s">
        <v>770</v>
      </c>
      <c r="G1316" s="122" t="s">
        <v>770</v>
      </c>
      <c r="H1316" s="170">
        <v>294693.136</v>
      </c>
      <c r="I1316" s="168" t="s">
        <v>1200</v>
      </c>
      <c r="J1316" s="168" t="s">
        <v>770</v>
      </c>
      <c r="L1316" s="76"/>
    </row>
    <row r="1317" spans="2:12" ht="12" x14ac:dyDescent="0.15">
      <c r="B1317" s="121">
        <v>13</v>
      </c>
      <c r="C1317" s="167" t="s">
        <v>70</v>
      </c>
      <c r="D1317" s="168" t="s">
        <v>770</v>
      </c>
      <c r="E1317" s="168" t="s">
        <v>770</v>
      </c>
      <c r="F1317" s="169" t="s">
        <v>770</v>
      </c>
      <c r="G1317" s="122" t="s">
        <v>770</v>
      </c>
      <c r="H1317" s="170">
        <v>294789.56700000004</v>
      </c>
      <c r="I1317" s="168" t="s">
        <v>1200</v>
      </c>
      <c r="J1317" s="168" t="s">
        <v>770</v>
      </c>
      <c r="L1317" s="76"/>
    </row>
    <row r="1318" spans="2:12" ht="12" x14ac:dyDescent="0.15">
      <c r="B1318" s="121">
        <v>13</v>
      </c>
      <c r="C1318" s="167" t="s">
        <v>70</v>
      </c>
      <c r="D1318" s="168" t="s">
        <v>770</v>
      </c>
      <c r="E1318" s="168" t="s">
        <v>770</v>
      </c>
      <c r="F1318" s="169" t="s">
        <v>770</v>
      </c>
      <c r="G1318" s="122" t="s">
        <v>770</v>
      </c>
      <c r="H1318" s="170">
        <v>184376.07200000001</v>
      </c>
      <c r="I1318" s="168" t="s">
        <v>1200</v>
      </c>
      <c r="J1318" s="168" t="s">
        <v>770</v>
      </c>
      <c r="L1318" s="76"/>
    </row>
    <row r="1319" spans="2:12" ht="12" x14ac:dyDescent="0.15">
      <c r="B1319" s="121">
        <v>13</v>
      </c>
      <c r="C1319" s="167" t="s">
        <v>70</v>
      </c>
      <c r="D1319" s="168" t="s">
        <v>770</v>
      </c>
      <c r="E1319" s="168" t="s">
        <v>770</v>
      </c>
      <c r="F1319" s="169" t="s">
        <v>770</v>
      </c>
      <c r="G1319" s="122" t="s">
        <v>770</v>
      </c>
      <c r="H1319" s="170">
        <v>139824.95000000001</v>
      </c>
      <c r="I1319" s="168" t="s">
        <v>1200</v>
      </c>
      <c r="J1319" s="168" t="s">
        <v>770</v>
      </c>
      <c r="L1319" s="76"/>
    </row>
    <row r="1320" spans="2:12" ht="12" x14ac:dyDescent="0.15">
      <c r="B1320" s="121">
        <v>13</v>
      </c>
      <c r="C1320" s="167" t="s">
        <v>70</v>
      </c>
      <c r="D1320" s="168" t="s">
        <v>770</v>
      </c>
      <c r="E1320" s="168" t="s">
        <v>770</v>
      </c>
      <c r="F1320" s="169" t="s">
        <v>770</v>
      </c>
      <c r="G1320" s="122" t="s">
        <v>770</v>
      </c>
      <c r="H1320" s="170">
        <v>184376.07200000001</v>
      </c>
      <c r="I1320" s="168" t="s">
        <v>1200</v>
      </c>
      <c r="J1320" s="168" t="s">
        <v>770</v>
      </c>
      <c r="L1320" s="76"/>
    </row>
    <row r="1321" spans="2:12" ht="12" x14ac:dyDescent="0.15">
      <c r="B1321" s="121">
        <v>13</v>
      </c>
      <c r="C1321" s="167" t="s">
        <v>70</v>
      </c>
      <c r="D1321" s="168" t="s">
        <v>770</v>
      </c>
      <c r="E1321" s="168" t="s">
        <v>770</v>
      </c>
      <c r="F1321" s="169" t="s">
        <v>770</v>
      </c>
      <c r="G1321" s="122" t="s">
        <v>770</v>
      </c>
      <c r="H1321" s="170">
        <v>139824.95000000001</v>
      </c>
      <c r="I1321" s="168" t="s">
        <v>1200</v>
      </c>
      <c r="J1321" s="168" t="s">
        <v>770</v>
      </c>
      <c r="L1321" s="76"/>
    </row>
    <row r="1322" spans="2:12" ht="12" x14ac:dyDescent="0.15">
      <c r="B1322" s="121">
        <v>13</v>
      </c>
      <c r="C1322" s="167" t="s">
        <v>70</v>
      </c>
      <c r="D1322" s="168" t="s">
        <v>770</v>
      </c>
      <c r="E1322" s="168" t="s">
        <v>770</v>
      </c>
      <c r="F1322" s="169" t="s">
        <v>770</v>
      </c>
      <c r="G1322" s="122" t="s">
        <v>770</v>
      </c>
      <c r="H1322" s="170">
        <v>134039.09</v>
      </c>
      <c r="I1322" s="168" t="s">
        <v>1200</v>
      </c>
      <c r="J1322" s="168" t="s">
        <v>770</v>
      </c>
      <c r="L1322" s="76"/>
    </row>
    <row r="1323" spans="2:12" ht="12" x14ac:dyDescent="0.15">
      <c r="B1323" s="121">
        <v>13</v>
      </c>
      <c r="C1323" s="167" t="s">
        <v>70</v>
      </c>
      <c r="D1323" s="168" t="s">
        <v>770</v>
      </c>
      <c r="E1323" s="168" t="s">
        <v>770</v>
      </c>
      <c r="F1323" s="169" t="s">
        <v>770</v>
      </c>
      <c r="G1323" s="122" t="s">
        <v>770</v>
      </c>
      <c r="H1323" s="170">
        <v>186208.261</v>
      </c>
      <c r="I1323" s="168" t="s">
        <v>1200</v>
      </c>
      <c r="J1323" s="168" t="s">
        <v>770</v>
      </c>
      <c r="L1323" s="76"/>
    </row>
    <row r="1324" spans="2:12" ht="12" x14ac:dyDescent="0.15">
      <c r="B1324" s="121">
        <v>13</v>
      </c>
      <c r="C1324" s="167" t="s">
        <v>70</v>
      </c>
      <c r="D1324" s="168" t="s">
        <v>770</v>
      </c>
      <c r="E1324" s="168" t="s">
        <v>770</v>
      </c>
      <c r="F1324" s="169" t="s">
        <v>770</v>
      </c>
      <c r="G1324" s="122" t="s">
        <v>770</v>
      </c>
      <c r="H1324" s="170">
        <v>166150.61300000001</v>
      </c>
      <c r="I1324" s="168" t="s">
        <v>1200</v>
      </c>
      <c r="J1324" s="168" t="s">
        <v>770</v>
      </c>
      <c r="L1324" s="76"/>
    </row>
    <row r="1325" spans="2:12" ht="12" x14ac:dyDescent="0.15">
      <c r="B1325" s="121">
        <v>13</v>
      </c>
      <c r="C1325" s="167" t="s">
        <v>70</v>
      </c>
      <c r="D1325" s="168" t="s">
        <v>770</v>
      </c>
      <c r="E1325" s="168" t="s">
        <v>770</v>
      </c>
      <c r="F1325" s="169" t="s">
        <v>770</v>
      </c>
      <c r="G1325" s="122" t="s">
        <v>770</v>
      </c>
      <c r="H1325" s="170">
        <v>186208.261</v>
      </c>
      <c r="I1325" s="168" t="s">
        <v>1200</v>
      </c>
      <c r="J1325" s="168" t="s">
        <v>770</v>
      </c>
      <c r="L1325" s="76"/>
    </row>
    <row r="1326" spans="2:12" ht="12" x14ac:dyDescent="0.15">
      <c r="B1326" s="121">
        <v>13</v>
      </c>
      <c r="C1326" s="167" t="s">
        <v>70</v>
      </c>
      <c r="D1326" s="168" t="s">
        <v>770</v>
      </c>
      <c r="E1326" s="168" t="s">
        <v>770</v>
      </c>
      <c r="F1326" s="169" t="s">
        <v>770</v>
      </c>
      <c r="G1326" s="122" t="s">
        <v>770</v>
      </c>
      <c r="H1326" s="170">
        <v>166150.61300000001</v>
      </c>
      <c r="I1326" s="168" t="s">
        <v>1200</v>
      </c>
      <c r="J1326" s="168" t="s">
        <v>770</v>
      </c>
      <c r="L1326" s="76"/>
    </row>
    <row r="1327" spans="2:12" ht="12" x14ac:dyDescent="0.15">
      <c r="B1327" s="121">
        <v>13</v>
      </c>
      <c r="C1327" s="167" t="s">
        <v>70</v>
      </c>
      <c r="D1327" s="168" t="s">
        <v>770</v>
      </c>
      <c r="E1327" s="168" t="s">
        <v>770</v>
      </c>
      <c r="F1327" s="169" t="s">
        <v>770</v>
      </c>
      <c r="G1327" s="122" t="s">
        <v>770</v>
      </c>
      <c r="H1327" s="170">
        <v>189197.622</v>
      </c>
      <c r="I1327" s="168" t="s">
        <v>1200</v>
      </c>
      <c r="J1327" s="168" t="s">
        <v>770</v>
      </c>
      <c r="L1327" s="76"/>
    </row>
    <row r="1328" spans="2:12" ht="12" x14ac:dyDescent="0.15">
      <c r="B1328" s="121">
        <v>13</v>
      </c>
      <c r="C1328" s="167" t="s">
        <v>70</v>
      </c>
      <c r="D1328" s="168" t="s">
        <v>770</v>
      </c>
      <c r="E1328" s="168" t="s">
        <v>770</v>
      </c>
      <c r="F1328" s="169" t="s">
        <v>770</v>
      </c>
      <c r="G1328" s="122" t="s">
        <v>770</v>
      </c>
      <c r="H1328" s="170">
        <v>162100.511</v>
      </c>
      <c r="I1328" s="168" t="s">
        <v>1200</v>
      </c>
      <c r="J1328" s="168" t="s">
        <v>770</v>
      </c>
      <c r="L1328" s="76"/>
    </row>
    <row r="1329" spans="2:12" ht="12" x14ac:dyDescent="0.15">
      <c r="B1329" s="121">
        <v>13</v>
      </c>
      <c r="C1329" s="167" t="s">
        <v>70</v>
      </c>
      <c r="D1329" s="168" t="s">
        <v>770</v>
      </c>
      <c r="E1329" s="168" t="s">
        <v>770</v>
      </c>
      <c r="F1329" s="169" t="s">
        <v>770</v>
      </c>
      <c r="G1329" s="122" t="s">
        <v>770</v>
      </c>
      <c r="H1329" s="170">
        <v>189197.622</v>
      </c>
      <c r="I1329" s="168" t="s">
        <v>1200</v>
      </c>
      <c r="J1329" s="168" t="s">
        <v>770</v>
      </c>
      <c r="L1329" s="76"/>
    </row>
    <row r="1330" spans="2:12" ht="12" x14ac:dyDescent="0.15">
      <c r="B1330" s="121">
        <v>13</v>
      </c>
      <c r="C1330" s="167" t="s">
        <v>70</v>
      </c>
      <c r="D1330" s="168" t="s">
        <v>770</v>
      </c>
      <c r="E1330" s="168" t="s">
        <v>770</v>
      </c>
      <c r="F1330" s="169" t="s">
        <v>770</v>
      </c>
      <c r="G1330" s="122" t="s">
        <v>770</v>
      </c>
      <c r="H1330" s="170">
        <v>162100.511</v>
      </c>
      <c r="I1330" s="168" t="s">
        <v>1200</v>
      </c>
      <c r="J1330" s="168" t="s">
        <v>770</v>
      </c>
      <c r="L1330" s="76"/>
    </row>
    <row r="1331" spans="2:12" ht="12" x14ac:dyDescent="0.15">
      <c r="B1331" s="121">
        <v>13</v>
      </c>
      <c r="C1331" s="167" t="s">
        <v>70</v>
      </c>
      <c r="D1331" s="168" t="s">
        <v>770</v>
      </c>
      <c r="E1331" s="168" t="s">
        <v>770</v>
      </c>
      <c r="F1331" s="169" t="s">
        <v>770</v>
      </c>
      <c r="G1331" s="122" t="s">
        <v>770</v>
      </c>
      <c r="H1331" s="170">
        <v>189197.622</v>
      </c>
      <c r="I1331" s="168" t="s">
        <v>1200</v>
      </c>
      <c r="J1331" s="168" t="s">
        <v>770</v>
      </c>
      <c r="L1331" s="76"/>
    </row>
    <row r="1332" spans="2:12" ht="12" x14ac:dyDescent="0.15">
      <c r="B1332" s="121">
        <v>13</v>
      </c>
      <c r="C1332" s="167" t="s">
        <v>70</v>
      </c>
      <c r="D1332" s="168" t="s">
        <v>770</v>
      </c>
      <c r="E1332" s="168" t="s">
        <v>770</v>
      </c>
      <c r="F1332" s="169" t="s">
        <v>770</v>
      </c>
      <c r="G1332" s="122" t="s">
        <v>770</v>
      </c>
      <c r="H1332" s="170">
        <v>162100.511</v>
      </c>
      <c r="I1332" s="168" t="s">
        <v>1200</v>
      </c>
      <c r="J1332" s="168" t="s">
        <v>770</v>
      </c>
      <c r="L1332" s="76"/>
    </row>
    <row r="1333" spans="2:12" ht="12" x14ac:dyDescent="0.15">
      <c r="B1333" s="121">
        <v>13</v>
      </c>
      <c r="C1333" s="167" t="s">
        <v>70</v>
      </c>
      <c r="D1333" s="168" t="s">
        <v>770</v>
      </c>
      <c r="E1333" s="168" t="s">
        <v>770</v>
      </c>
      <c r="F1333" s="169" t="s">
        <v>770</v>
      </c>
      <c r="G1333" s="122" t="s">
        <v>770</v>
      </c>
      <c r="H1333" s="170">
        <v>189101.19099999999</v>
      </c>
      <c r="I1333" s="168" t="s">
        <v>1200</v>
      </c>
      <c r="J1333" s="168" t="s">
        <v>770</v>
      </c>
      <c r="L1333" s="76"/>
    </row>
    <row r="1334" spans="2:12" ht="12" x14ac:dyDescent="0.15">
      <c r="B1334" s="121">
        <v>13</v>
      </c>
      <c r="C1334" s="167" t="s">
        <v>70</v>
      </c>
      <c r="D1334" s="168" t="s">
        <v>770</v>
      </c>
      <c r="E1334" s="168" t="s">
        <v>770</v>
      </c>
      <c r="F1334" s="169" t="s">
        <v>770</v>
      </c>
      <c r="G1334" s="122" t="s">
        <v>770</v>
      </c>
      <c r="H1334" s="170">
        <v>162100.511</v>
      </c>
      <c r="I1334" s="168" t="s">
        <v>1200</v>
      </c>
      <c r="J1334" s="168" t="s">
        <v>770</v>
      </c>
      <c r="L1334" s="76"/>
    </row>
    <row r="1335" spans="2:12" ht="12" x14ac:dyDescent="0.15">
      <c r="B1335" s="121">
        <v>13</v>
      </c>
      <c r="C1335" s="167" t="s">
        <v>70</v>
      </c>
      <c r="D1335" s="168" t="s">
        <v>770</v>
      </c>
      <c r="E1335" s="168" t="s">
        <v>770</v>
      </c>
      <c r="F1335" s="169" t="s">
        <v>770</v>
      </c>
      <c r="G1335" s="122" t="s">
        <v>770</v>
      </c>
      <c r="H1335" s="170">
        <v>189101.19099999999</v>
      </c>
      <c r="I1335" s="168" t="s">
        <v>1200</v>
      </c>
      <c r="J1335" s="168" t="s">
        <v>770</v>
      </c>
      <c r="L1335" s="76"/>
    </row>
    <row r="1336" spans="2:12" ht="12" x14ac:dyDescent="0.15">
      <c r="B1336" s="121">
        <v>13</v>
      </c>
      <c r="C1336" s="167" t="s">
        <v>70</v>
      </c>
      <c r="D1336" s="168" t="s">
        <v>770</v>
      </c>
      <c r="E1336" s="168" t="s">
        <v>770</v>
      </c>
      <c r="F1336" s="169" t="s">
        <v>770</v>
      </c>
      <c r="G1336" s="122" t="s">
        <v>770</v>
      </c>
      <c r="H1336" s="170">
        <v>162100.511</v>
      </c>
      <c r="I1336" s="168" t="s">
        <v>1200</v>
      </c>
      <c r="J1336" s="168" t="s">
        <v>770</v>
      </c>
      <c r="L1336" s="76"/>
    </row>
    <row r="1337" spans="2:12" ht="12" x14ac:dyDescent="0.15">
      <c r="B1337" s="121">
        <v>13</v>
      </c>
      <c r="C1337" s="167" t="s">
        <v>70</v>
      </c>
      <c r="D1337" s="168" t="s">
        <v>770</v>
      </c>
      <c r="E1337" s="168" t="s">
        <v>770</v>
      </c>
      <c r="F1337" s="169" t="s">
        <v>770</v>
      </c>
      <c r="G1337" s="122" t="s">
        <v>770</v>
      </c>
      <c r="H1337" s="170">
        <v>189101.19099999999</v>
      </c>
      <c r="I1337" s="168" t="s">
        <v>1200</v>
      </c>
      <c r="J1337" s="168" t="s">
        <v>770</v>
      </c>
      <c r="L1337" s="76"/>
    </row>
    <row r="1338" spans="2:12" ht="12" x14ac:dyDescent="0.15">
      <c r="B1338" s="121">
        <v>13</v>
      </c>
      <c r="C1338" s="167" t="s">
        <v>70</v>
      </c>
      <c r="D1338" s="168" t="s">
        <v>770</v>
      </c>
      <c r="E1338" s="168" t="s">
        <v>770</v>
      </c>
      <c r="F1338" s="169" t="s">
        <v>770</v>
      </c>
      <c r="G1338" s="122" t="s">
        <v>770</v>
      </c>
      <c r="H1338" s="170">
        <v>162100.511</v>
      </c>
      <c r="I1338" s="168" t="s">
        <v>1200</v>
      </c>
      <c r="J1338" s="168" t="s">
        <v>770</v>
      </c>
      <c r="L1338" s="76"/>
    </row>
    <row r="1339" spans="2:12" ht="12" x14ac:dyDescent="0.15">
      <c r="B1339" s="121">
        <v>13</v>
      </c>
      <c r="C1339" s="167" t="s">
        <v>70</v>
      </c>
      <c r="D1339" s="168" t="s">
        <v>770</v>
      </c>
      <c r="E1339" s="168" t="s">
        <v>770</v>
      </c>
      <c r="F1339" s="169" t="s">
        <v>770</v>
      </c>
      <c r="G1339" s="122" t="s">
        <v>770</v>
      </c>
      <c r="H1339" s="170">
        <v>162100.511</v>
      </c>
      <c r="I1339" s="168" t="s">
        <v>1200</v>
      </c>
      <c r="J1339" s="168" t="s">
        <v>770</v>
      </c>
      <c r="L1339" s="76"/>
    </row>
    <row r="1340" spans="2:12" ht="12" x14ac:dyDescent="0.15">
      <c r="B1340" s="121">
        <v>13</v>
      </c>
      <c r="C1340" s="167" t="s">
        <v>70</v>
      </c>
      <c r="D1340" s="168" t="s">
        <v>770</v>
      </c>
      <c r="E1340" s="168" t="s">
        <v>770</v>
      </c>
      <c r="F1340" s="169" t="s">
        <v>770</v>
      </c>
      <c r="G1340" s="122" t="s">
        <v>770</v>
      </c>
      <c r="H1340" s="170">
        <v>189101.19099999999</v>
      </c>
      <c r="I1340" s="168" t="s">
        <v>1200</v>
      </c>
      <c r="J1340" s="168" t="s">
        <v>770</v>
      </c>
      <c r="L1340" s="76"/>
    </row>
    <row r="1341" spans="2:12" ht="12" x14ac:dyDescent="0.15">
      <c r="B1341" s="121">
        <v>13</v>
      </c>
      <c r="C1341" s="167" t="s">
        <v>70</v>
      </c>
      <c r="D1341" s="168" t="s">
        <v>770</v>
      </c>
      <c r="E1341" s="168" t="s">
        <v>770</v>
      </c>
      <c r="F1341" s="169" t="s">
        <v>770</v>
      </c>
      <c r="G1341" s="122" t="s">
        <v>770</v>
      </c>
      <c r="H1341" s="170">
        <v>189101.19099999999</v>
      </c>
      <c r="I1341" s="168" t="s">
        <v>1200</v>
      </c>
      <c r="J1341" s="168" t="s">
        <v>770</v>
      </c>
      <c r="L1341" s="76"/>
    </row>
    <row r="1342" spans="2:12" ht="12" x14ac:dyDescent="0.15">
      <c r="B1342" s="121">
        <v>13</v>
      </c>
      <c r="C1342" s="167" t="s">
        <v>70</v>
      </c>
      <c r="D1342" s="168" t="s">
        <v>770</v>
      </c>
      <c r="E1342" s="168" t="s">
        <v>770</v>
      </c>
      <c r="F1342" s="169" t="s">
        <v>770</v>
      </c>
      <c r="G1342" s="122" t="s">
        <v>770</v>
      </c>
      <c r="H1342" s="170">
        <v>162100.511</v>
      </c>
      <c r="I1342" s="168" t="s">
        <v>1200</v>
      </c>
      <c r="J1342" s="168" t="s">
        <v>770</v>
      </c>
      <c r="L1342" s="76"/>
    </row>
    <row r="1343" spans="2:12" ht="12" x14ac:dyDescent="0.15">
      <c r="B1343" s="121">
        <v>13</v>
      </c>
      <c r="C1343" s="167" t="s">
        <v>70</v>
      </c>
      <c r="D1343" s="168" t="s">
        <v>770</v>
      </c>
      <c r="E1343" s="168" t="s">
        <v>770</v>
      </c>
      <c r="F1343" s="169" t="s">
        <v>770</v>
      </c>
      <c r="G1343" s="122" t="s">
        <v>770</v>
      </c>
      <c r="H1343" s="170">
        <v>198069.274</v>
      </c>
      <c r="I1343" s="168" t="s">
        <v>1200</v>
      </c>
      <c r="J1343" s="168" t="s">
        <v>770</v>
      </c>
      <c r="L1343" s="76"/>
    </row>
    <row r="1344" spans="2:12" ht="12" x14ac:dyDescent="0.15">
      <c r="B1344" s="121">
        <v>13</v>
      </c>
      <c r="C1344" s="167" t="s">
        <v>70</v>
      </c>
      <c r="D1344" s="168" t="s">
        <v>770</v>
      </c>
      <c r="E1344" s="168" t="s">
        <v>770</v>
      </c>
      <c r="F1344" s="169" t="s">
        <v>770</v>
      </c>
      <c r="G1344" s="122" t="s">
        <v>770</v>
      </c>
      <c r="H1344" s="170">
        <v>200865.77299999999</v>
      </c>
      <c r="I1344" s="168" t="s">
        <v>1200</v>
      </c>
      <c r="J1344" s="168" t="s">
        <v>770</v>
      </c>
      <c r="L1344" s="76"/>
    </row>
    <row r="1345" spans="2:12" ht="12" x14ac:dyDescent="0.15">
      <c r="B1345" s="121">
        <v>13</v>
      </c>
      <c r="C1345" s="167" t="s">
        <v>70</v>
      </c>
      <c r="D1345" s="168" t="s">
        <v>770</v>
      </c>
      <c r="E1345" s="168" t="s">
        <v>770</v>
      </c>
      <c r="F1345" s="169" t="s">
        <v>770</v>
      </c>
      <c r="G1345" s="122" t="s">
        <v>770</v>
      </c>
      <c r="H1345" s="170">
        <v>193729.87900000002</v>
      </c>
      <c r="I1345" s="168" t="s">
        <v>1200</v>
      </c>
      <c r="J1345" s="168" t="s">
        <v>770</v>
      </c>
      <c r="L1345" s="76"/>
    </row>
    <row r="1346" spans="2:12" ht="12" x14ac:dyDescent="0.15">
      <c r="B1346" s="121">
        <v>13</v>
      </c>
      <c r="C1346" s="167" t="s">
        <v>70</v>
      </c>
      <c r="D1346" s="168" t="s">
        <v>770</v>
      </c>
      <c r="E1346" s="168" t="s">
        <v>770</v>
      </c>
      <c r="F1346" s="169" t="s">
        <v>770</v>
      </c>
      <c r="G1346" s="122" t="s">
        <v>770</v>
      </c>
      <c r="H1346" s="170">
        <v>198551.429</v>
      </c>
      <c r="I1346" s="168" t="s">
        <v>1200</v>
      </c>
      <c r="J1346" s="168" t="s">
        <v>770</v>
      </c>
      <c r="L1346" s="76"/>
    </row>
    <row r="1347" spans="2:12" ht="12" x14ac:dyDescent="0.15">
      <c r="B1347" s="121">
        <v>13</v>
      </c>
      <c r="C1347" s="167" t="s">
        <v>70</v>
      </c>
      <c r="D1347" s="168" t="s">
        <v>770</v>
      </c>
      <c r="E1347" s="168" t="s">
        <v>770</v>
      </c>
      <c r="F1347" s="169" t="s">
        <v>770</v>
      </c>
      <c r="G1347" s="122" t="s">
        <v>770</v>
      </c>
      <c r="H1347" s="170">
        <v>193729.87900000002</v>
      </c>
      <c r="I1347" s="168" t="s">
        <v>1200</v>
      </c>
      <c r="J1347" s="168" t="s">
        <v>770</v>
      </c>
      <c r="L1347" s="76"/>
    </row>
    <row r="1348" spans="2:12" ht="12" x14ac:dyDescent="0.15">
      <c r="B1348" s="121">
        <v>13</v>
      </c>
      <c r="C1348" s="167" t="s">
        <v>70</v>
      </c>
      <c r="D1348" s="168" t="s">
        <v>770</v>
      </c>
      <c r="E1348" s="168" t="s">
        <v>770</v>
      </c>
      <c r="F1348" s="169" t="s">
        <v>770</v>
      </c>
      <c r="G1348" s="122" t="s">
        <v>770</v>
      </c>
      <c r="H1348" s="170">
        <v>198551.429</v>
      </c>
      <c r="I1348" s="168" t="s">
        <v>1200</v>
      </c>
      <c r="J1348" s="168" t="s">
        <v>770</v>
      </c>
      <c r="L1348" s="76"/>
    </row>
    <row r="1349" spans="2:12" ht="12" x14ac:dyDescent="0.15">
      <c r="B1349" s="121">
        <v>13</v>
      </c>
      <c r="C1349" s="167" t="s">
        <v>70</v>
      </c>
      <c r="D1349" s="168" t="s">
        <v>770</v>
      </c>
      <c r="E1349" s="168" t="s">
        <v>770</v>
      </c>
      <c r="F1349" s="169" t="s">
        <v>770</v>
      </c>
      <c r="G1349" s="122" t="s">
        <v>770</v>
      </c>
      <c r="H1349" s="170">
        <v>193729.87900000002</v>
      </c>
      <c r="I1349" s="168" t="s">
        <v>1200</v>
      </c>
      <c r="J1349" s="168" t="s">
        <v>770</v>
      </c>
      <c r="L1349" s="76"/>
    </row>
    <row r="1350" spans="2:12" ht="12" x14ac:dyDescent="0.15">
      <c r="B1350" s="121">
        <v>13</v>
      </c>
      <c r="C1350" s="167" t="s">
        <v>70</v>
      </c>
      <c r="D1350" s="168" t="s">
        <v>770</v>
      </c>
      <c r="E1350" s="168" t="s">
        <v>770</v>
      </c>
      <c r="F1350" s="169" t="s">
        <v>770</v>
      </c>
      <c r="G1350" s="122" t="s">
        <v>770</v>
      </c>
      <c r="H1350" s="170">
        <v>198551.429</v>
      </c>
      <c r="I1350" s="168" t="s">
        <v>1200</v>
      </c>
      <c r="J1350" s="168" t="s">
        <v>770</v>
      </c>
      <c r="L1350" s="76"/>
    </row>
    <row r="1351" spans="2:12" ht="12" x14ac:dyDescent="0.15">
      <c r="B1351" s="121">
        <v>13</v>
      </c>
      <c r="C1351" s="167" t="s">
        <v>70</v>
      </c>
      <c r="D1351" s="168" t="s">
        <v>1251</v>
      </c>
      <c r="E1351" s="168" t="s">
        <v>770</v>
      </c>
      <c r="F1351" s="169" t="s">
        <v>770</v>
      </c>
      <c r="G1351" s="122" t="s">
        <v>770</v>
      </c>
      <c r="H1351" s="170">
        <v>139824.95000000001</v>
      </c>
      <c r="I1351" s="168" t="s">
        <v>1200</v>
      </c>
      <c r="J1351" s="168" t="s">
        <v>770</v>
      </c>
      <c r="L1351" s="76"/>
    </row>
    <row r="1352" spans="2:12" ht="12" x14ac:dyDescent="0.15">
      <c r="B1352" s="121">
        <v>13</v>
      </c>
      <c r="C1352" s="167" t="s">
        <v>70</v>
      </c>
      <c r="D1352" s="168" t="s">
        <v>1251</v>
      </c>
      <c r="E1352" s="168" t="s">
        <v>770</v>
      </c>
      <c r="F1352" s="169" t="s">
        <v>770</v>
      </c>
      <c r="G1352" s="122" t="s">
        <v>770</v>
      </c>
      <c r="H1352" s="170">
        <v>139824.95000000001</v>
      </c>
      <c r="I1352" s="168" t="s">
        <v>1200</v>
      </c>
      <c r="J1352" s="168" t="s">
        <v>770</v>
      </c>
      <c r="L1352" s="76"/>
    </row>
    <row r="1353" spans="2:12" ht="12" x14ac:dyDescent="0.15">
      <c r="B1353" s="121">
        <v>13</v>
      </c>
      <c r="C1353" s="167" t="s">
        <v>70</v>
      </c>
      <c r="D1353" s="168" t="s">
        <v>1251</v>
      </c>
      <c r="E1353" s="168" t="s">
        <v>770</v>
      </c>
      <c r="F1353" s="169" t="s">
        <v>770</v>
      </c>
      <c r="G1353" s="122" t="s">
        <v>770</v>
      </c>
      <c r="H1353" s="170">
        <v>132496.19400000002</v>
      </c>
      <c r="I1353" s="168" t="s">
        <v>1200</v>
      </c>
      <c r="J1353" s="168" t="s">
        <v>770</v>
      </c>
      <c r="L1353" s="76"/>
    </row>
    <row r="1354" spans="2:12" ht="12" x14ac:dyDescent="0.15">
      <c r="B1354" s="121">
        <v>13</v>
      </c>
      <c r="C1354" s="167" t="s">
        <v>70</v>
      </c>
      <c r="D1354" s="168" t="s">
        <v>1251</v>
      </c>
      <c r="E1354" s="168" t="s">
        <v>770</v>
      </c>
      <c r="F1354" s="169" t="s">
        <v>770</v>
      </c>
      <c r="G1354" s="122" t="s">
        <v>770</v>
      </c>
      <c r="H1354" s="170">
        <v>132399.76300000001</v>
      </c>
      <c r="I1354" s="168" t="s">
        <v>1200</v>
      </c>
      <c r="J1354" s="168" t="s">
        <v>770</v>
      </c>
      <c r="L1354" s="76"/>
    </row>
    <row r="1355" spans="2:12" ht="12" x14ac:dyDescent="0.15">
      <c r="B1355" s="121">
        <v>13</v>
      </c>
      <c r="C1355" s="167" t="s">
        <v>70</v>
      </c>
      <c r="D1355" s="168" t="s">
        <v>1251</v>
      </c>
      <c r="E1355" s="168" t="s">
        <v>770</v>
      </c>
      <c r="F1355" s="169" t="s">
        <v>770</v>
      </c>
      <c r="G1355" s="122" t="s">
        <v>770</v>
      </c>
      <c r="H1355" s="170">
        <v>130374.712</v>
      </c>
      <c r="I1355" s="168" t="s">
        <v>1200</v>
      </c>
      <c r="J1355" s="168" t="s">
        <v>770</v>
      </c>
      <c r="L1355" s="76"/>
    </row>
    <row r="1356" spans="2:12" ht="12" x14ac:dyDescent="0.15">
      <c r="B1356" s="121">
        <v>13</v>
      </c>
      <c r="C1356" s="167" t="s">
        <v>70</v>
      </c>
      <c r="D1356" s="168" t="s">
        <v>1251</v>
      </c>
      <c r="E1356" s="168" t="s">
        <v>770</v>
      </c>
      <c r="F1356" s="169" t="s">
        <v>770</v>
      </c>
      <c r="G1356" s="122" t="s">
        <v>770</v>
      </c>
      <c r="H1356" s="170">
        <v>129603.264</v>
      </c>
      <c r="I1356" s="168" t="s">
        <v>1200</v>
      </c>
      <c r="J1356" s="168" t="s">
        <v>770</v>
      </c>
      <c r="L1356" s="76"/>
    </row>
    <row r="1357" spans="2:12" ht="12" x14ac:dyDescent="0.15">
      <c r="B1357" s="121">
        <v>13</v>
      </c>
      <c r="C1357" s="167" t="s">
        <v>70</v>
      </c>
      <c r="D1357" s="168" t="s">
        <v>1251</v>
      </c>
      <c r="E1357" s="168" t="s">
        <v>770</v>
      </c>
      <c r="F1357" s="169" t="s">
        <v>770</v>
      </c>
      <c r="G1357" s="122" t="s">
        <v>770</v>
      </c>
      <c r="H1357" s="170">
        <v>180904.55600000001</v>
      </c>
      <c r="I1357" s="168" t="s">
        <v>1200</v>
      </c>
      <c r="J1357" s="168" t="s">
        <v>770</v>
      </c>
      <c r="L1357" s="76"/>
    </row>
    <row r="1358" spans="2:12" ht="12" x14ac:dyDescent="0.15">
      <c r="B1358" s="121">
        <v>13</v>
      </c>
      <c r="C1358" s="167" t="s">
        <v>70</v>
      </c>
      <c r="D1358" s="168" t="s">
        <v>1251</v>
      </c>
      <c r="E1358" s="168" t="s">
        <v>770</v>
      </c>
      <c r="F1358" s="169" t="s">
        <v>770</v>
      </c>
      <c r="G1358" s="122" t="s">
        <v>770</v>
      </c>
      <c r="H1358" s="170">
        <v>128928.247</v>
      </c>
      <c r="I1358" s="168" t="s">
        <v>1200</v>
      </c>
      <c r="J1358" s="168" t="s">
        <v>770</v>
      </c>
      <c r="L1358" s="76"/>
    </row>
    <row r="1359" spans="2:12" ht="12" x14ac:dyDescent="0.15">
      <c r="B1359" s="121">
        <v>13</v>
      </c>
      <c r="C1359" s="167" t="s">
        <v>70</v>
      </c>
      <c r="D1359" s="168" t="s">
        <v>1251</v>
      </c>
      <c r="E1359" s="168" t="s">
        <v>770</v>
      </c>
      <c r="F1359" s="169" t="s">
        <v>770</v>
      </c>
      <c r="G1359" s="122" t="s">
        <v>770</v>
      </c>
      <c r="H1359" s="170">
        <v>189969.07</v>
      </c>
      <c r="I1359" s="168" t="s">
        <v>1200</v>
      </c>
      <c r="J1359" s="168" t="s">
        <v>770</v>
      </c>
      <c r="L1359" s="76"/>
    </row>
    <row r="1360" spans="2:12" ht="12" x14ac:dyDescent="0.15">
      <c r="B1360" s="121">
        <v>13</v>
      </c>
      <c r="C1360" s="167" t="s">
        <v>70</v>
      </c>
      <c r="D1360" s="168" t="s">
        <v>1251</v>
      </c>
      <c r="E1360" s="168" t="s">
        <v>770</v>
      </c>
      <c r="F1360" s="169" t="s">
        <v>770</v>
      </c>
      <c r="G1360" s="122" t="s">
        <v>770</v>
      </c>
      <c r="H1360" s="170">
        <v>171068.59399999998</v>
      </c>
      <c r="I1360" s="168" t="s">
        <v>1200</v>
      </c>
      <c r="J1360" s="168" t="s">
        <v>770</v>
      </c>
      <c r="L1360" s="76"/>
    </row>
    <row r="1361" spans="2:12" ht="12" x14ac:dyDescent="0.15">
      <c r="B1361" s="121">
        <v>13</v>
      </c>
      <c r="C1361" s="167" t="s">
        <v>70</v>
      </c>
      <c r="D1361" s="168" t="s">
        <v>1251</v>
      </c>
      <c r="E1361" s="168" t="s">
        <v>770</v>
      </c>
      <c r="F1361" s="169" t="s">
        <v>770</v>
      </c>
      <c r="G1361" s="122" t="s">
        <v>770</v>
      </c>
      <c r="H1361" s="170">
        <v>194887.05100000001</v>
      </c>
      <c r="I1361" s="168" t="s">
        <v>1200</v>
      </c>
      <c r="J1361" s="168" t="s">
        <v>770</v>
      </c>
      <c r="L1361" s="76"/>
    </row>
    <row r="1362" spans="2:12" ht="12" x14ac:dyDescent="0.15">
      <c r="B1362" s="121">
        <v>13</v>
      </c>
      <c r="C1362" s="167" t="s">
        <v>70</v>
      </c>
      <c r="D1362" s="168" t="s">
        <v>1251</v>
      </c>
      <c r="E1362" s="168" t="s">
        <v>770</v>
      </c>
      <c r="F1362" s="169" t="s">
        <v>770</v>
      </c>
      <c r="G1362" s="122" t="s">
        <v>770</v>
      </c>
      <c r="H1362" s="170">
        <v>177240.17799999999</v>
      </c>
      <c r="I1362" s="168" t="s">
        <v>1200</v>
      </c>
      <c r="J1362" s="168" t="s">
        <v>770</v>
      </c>
      <c r="L1362" s="76"/>
    </row>
    <row r="1363" spans="2:12" ht="12" x14ac:dyDescent="0.15">
      <c r="B1363" s="121">
        <v>13</v>
      </c>
      <c r="C1363" s="167" t="s">
        <v>70</v>
      </c>
      <c r="D1363" s="168" t="s">
        <v>770</v>
      </c>
      <c r="E1363" s="168" t="s">
        <v>770</v>
      </c>
      <c r="F1363" s="169" t="s">
        <v>770</v>
      </c>
      <c r="G1363" s="122" t="s">
        <v>770</v>
      </c>
      <c r="H1363" s="170">
        <v>820531.37900000007</v>
      </c>
      <c r="I1363" s="168" t="s">
        <v>1200</v>
      </c>
      <c r="J1363" s="168" t="s">
        <v>770</v>
      </c>
      <c r="L1363" s="76"/>
    </row>
    <row r="1364" spans="2:12" ht="12" x14ac:dyDescent="0.15">
      <c r="B1364" s="121">
        <v>13</v>
      </c>
      <c r="C1364" s="167" t="s">
        <v>70</v>
      </c>
      <c r="D1364" s="168" t="s">
        <v>770</v>
      </c>
      <c r="E1364" s="168" t="s">
        <v>770</v>
      </c>
      <c r="F1364" s="169" t="s">
        <v>770</v>
      </c>
      <c r="G1364" s="122" t="s">
        <v>770</v>
      </c>
      <c r="H1364" s="170">
        <v>84569.986999999994</v>
      </c>
      <c r="I1364" s="168" t="s">
        <v>1200</v>
      </c>
      <c r="J1364" s="168" t="s">
        <v>770</v>
      </c>
      <c r="L1364" s="76"/>
    </row>
    <row r="1365" spans="2:12" ht="12" x14ac:dyDescent="0.15">
      <c r="B1365" s="121">
        <v>13</v>
      </c>
      <c r="C1365" s="167" t="s">
        <v>70</v>
      </c>
      <c r="D1365" s="168" t="s">
        <v>770</v>
      </c>
      <c r="E1365" s="168" t="s">
        <v>770</v>
      </c>
      <c r="F1365" s="169" t="s">
        <v>770</v>
      </c>
      <c r="G1365" s="122" t="s">
        <v>770</v>
      </c>
      <c r="H1365" s="170">
        <v>172129.33500000002</v>
      </c>
      <c r="I1365" s="168" t="s">
        <v>1200</v>
      </c>
      <c r="J1365" s="168" t="s">
        <v>770</v>
      </c>
      <c r="L1365" s="76"/>
    </row>
    <row r="1366" spans="2:12" ht="12" x14ac:dyDescent="0.15">
      <c r="B1366" s="121">
        <v>13</v>
      </c>
      <c r="C1366" s="167" t="s">
        <v>70</v>
      </c>
      <c r="D1366" s="168" t="s">
        <v>770</v>
      </c>
      <c r="E1366" s="168" t="s">
        <v>770</v>
      </c>
      <c r="F1366" s="169" t="s">
        <v>770</v>
      </c>
      <c r="G1366" s="122" t="s">
        <v>770</v>
      </c>
      <c r="H1366" s="170">
        <v>1419753.6129999999</v>
      </c>
      <c r="I1366" s="168" t="s">
        <v>1200</v>
      </c>
      <c r="J1366" s="168" t="s">
        <v>770</v>
      </c>
      <c r="L1366" s="76"/>
    </row>
    <row r="1367" spans="2:12" ht="12" x14ac:dyDescent="0.15">
      <c r="B1367" s="121">
        <v>13</v>
      </c>
      <c r="C1367" s="167" t="s">
        <v>70</v>
      </c>
      <c r="D1367" s="168" t="s">
        <v>1251</v>
      </c>
      <c r="E1367" s="168" t="s">
        <v>770</v>
      </c>
      <c r="F1367" s="169" t="s">
        <v>770</v>
      </c>
      <c r="G1367" s="122" t="s">
        <v>770</v>
      </c>
      <c r="H1367" s="170">
        <v>418124.81599999999</v>
      </c>
      <c r="I1367" s="168" t="s">
        <v>1200</v>
      </c>
      <c r="J1367" s="168" t="s">
        <v>770</v>
      </c>
      <c r="L1367" s="76"/>
    </row>
    <row r="1368" spans="2:12" ht="12" x14ac:dyDescent="0.15">
      <c r="B1368" s="121">
        <v>13</v>
      </c>
      <c r="C1368" s="167" t="s">
        <v>70</v>
      </c>
      <c r="D1368" s="168" t="s">
        <v>1251</v>
      </c>
      <c r="E1368" s="168" t="s">
        <v>770</v>
      </c>
      <c r="F1368" s="169" t="s">
        <v>770</v>
      </c>
      <c r="G1368" s="122" t="s">
        <v>770</v>
      </c>
      <c r="H1368" s="170">
        <v>333747.69099999999</v>
      </c>
      <c r="I1368" s="168" t="s">
        <v>1200</v>
      </c>
      <c r="J1368" s="168" t="s">
        <v>770</v>
      </c>
      <c r="L1368" s="76"/>
    </row>
    <row r="1369" spans="2:12" ht="12" x14ac:dyDescent="0.15">
      <c r="B1369" s="121">
        <v>13</v>
      </c>
      <c r="C1369" s="167" t="s">
        <v>70</v>
      </c>
      <c r="D1369" s="168" t="s">
        <v>1251</v>
      </c>
      <c r="E1369" s="168" t="s">
        <v>770</v>
      </c>
      <c r="F1369" s="169" t="s">
        <v>770</v>
      </c>
      <c r="G1369" s="122" t="s">
        <v>770</v>
      </c>
      <c r="H1369" s="170">
        <v>796327.19799999997</v>
      </c>
      <c r="I1369" s="168" t="s">
        <v>1200</v>
      </c>
      <c r="J1369" s="168" t="s">
        <v>770</v>
      </c>
      <c r="L1369" s="76"/>
    </row>
    <row r="1370" spans="2:12" ht="12" x14ac:dyDescent="0.15">
      <c r="B1370" s="121">
        <v>13</v>
      </c>
      <c r="C1370" s="167" t="s">
        <v>70</v>
      </c>
      <c r="D1370" s="168" t="s">
        <v>1251</v>
      </c>
      <c r="E1370" s="168" t="s">
        <v>770</v>
      </c>
      <c r="F1370" s="169" t="s">
        <v>770</v>
      </c>
      <c r="G1370" s="122" t="s">
        <v>770</v>
      </c>
      <c r="H1370" s="170">
        <v>165957.75100000002</v>
      </c>
      <c r="I1370" s="168" t="s">
        <v>1200</v>
      </c>
      <c r="J1370" s="168" t="s">
        <v>770</v>
      </c>
      <c r="L1370" s="76"/>
    </row>
    <row r="1371" spans="2:12" ht="12" x14ac:dyDescent="0.15">
      <c r="B1371" s="121">
        <v>13</v>
      </c>
      <c r="C1371" s="167" t="s">
        <v>70</v>
      </c>
      <c r="D1371" s="168" t="s">
        <v>1251</v>
      </c>
      <c r="E1371" s="168" t="s">
        <v>770</v>
      </c>
      <c r="F1371" s="169" t="s">
        <v>770</v>
      </c>
      <c r="G1371" s="122" t="s">
        <v>770</v>
      </c>
      <c r="H1371" s="170">
        <v>84955.71100000001</v>
      </c>
      <c r="I1371" s="168" t="s">
        <v>1200</v>
      </c>
      <c r="J1371" s="168" t="s">
        <v>770</v>
      </c>
      <c r="L1371" s="76"/>
    </row>
    <row r="1372" spans="2:12" ht="12" x14ac:dyDescent="0.15">
      <c r="B1372" s="121">
        <v>13</v>
      </c>
      <c r="C1372" s="167" t="s">
        <v>70</v>
      </c>
      <c r="D1372" s="168" t="s">
        <v>1251</v>
      </c>
      <c r="E1372" s="168" t="s">
        <v>770</v>
      </c>
      <c r="F1372" s="169" t="s">
        <v>770</v>
      </c>
      <c r="G1372" s="122" t="s">
        <v>770</v>
      </c>
      <c r="H1372" s="170">
        <v>463640.24800000002</v>
      </c>
      <c r="I1372" s="168" t="s">
        <v>1200</v>
      </c>
      <c r="J1372" s="168" t="s">
        <v>770</v>
      </c>
      <c r="L1372" s="76"/>
    </row>
    <row r="1373" spans="2:12" ht="12" x14ac:dyDescent="0.15">
      <c r="B1373" s="121">
        <v>13</v>
      </c>
      <c r="C1373" s="167" t="s">
        <v>70</v>
      </c>
      <c r="D1373" s="168" t="s">
        <v>1251</v>
      </c>
      <c r="E1373" s="168" t="s">
        <v>770</v>
      </c>
      <c r="F1373" s="169" t="s">
        <v>770</v>
      </c>
      <c r="G1373" s="122" t="s">
        <v>770</v>
      </c>
      <c r="H1373" s="170">
        <v>337412.06900000002</v>
      </c>
      <c r="I1373" s="168" t="s">
        <v>1200</v>
      </c>
      <c r="J1373" s="168" t="s">
        <v>770</v>
      </c>
      <c r="L1373" s="76"/>
    </row>
    <row r="1374" spans="2:12" ht="12" x14ac:dyDescent="0.15">
      <c r="B1374" s="121">
        <v>13</v>
      </c>
      <c r="C1374" s="167" t="s">
        <v>70</v>
      </c>
      <c r="D1374" s="168" t="s">
        <v>770</v>
      </c>
      <c r="E1374" s="168" t="s">
        <v>770</v>
      </c>
      <c r="F1374" s="169" t="s">
        <v>770</v>
      </c>
      <c r="G1374" s="122" t="s">
        <v>770</v>
      </c>
      <c r="H1374" s="170">
        <v>11037588.691</v>
      </c>
      <c r="I1374" s="168" t="s">
        <v>1200</v>
      </c>
      <c r="J1374" s="168" t="s">
        <v>770</v>
      </c>
      <c r="L1374" s="76"/>
    </row>
    <row r="1375" spans="2:12" ht="12" x14ac:dyDescent="0.15">
      <c r="B1375" s="121">
        <v>13</v>
      </c>
      <c r="C1375" s="167" t="s">
        <v>70</v>
      </c>
      <c r="D1375" s="168" t="s">
        <v>770</v>
      </c>
      <c r="E1375" s="168" t="s">
        <v>770</v>
      </c>
      <c r="F1375" s="169" t="s">
        <v>770</v>
      </c>
      <c r="G1375" s="122" t="s">
        <v>770</v>
      </c>
      <c r="H1375" s="170">
        <v>978678.21900000004</v>
      </c>
      <c r="I1375" s="168" t="s">
        <v>1200</v>
      </c>
      <c r="J1375" s="168" t="s">
        <v>770</v>
      </c>
      <c r="L1375" s="76"/>
    </row>
    <row r="1376" spans="2:12" ht="12" x14ac:dyDescent="0.15">
      <c r="B1376" s="121">
        <v>13</v>
      </c>
      <c r="C1376" s="167" t="s">
        <v>70</v>
      </c>
      <c r="D1376" s="168" t="s">
        <v>1507</v>
      </c>
      <c r="E1376" s="168" t="s">
        <v>770</v>
      </c>
      <c r="F1376" s="169" t="s">
        <v>770</v>
      </c>
      <c r="G1376" s="122" t="s">
        <v>770</v>
      </c>
      <c r="H1376" s="170">
        <v>-978678.21900000004</v>
      </c>
      <c r="I1376" s="168" t="s">
        <v>1200</v>
      </c>
      <c r="J1376" s="168" t="s">
        <v>770</v>
      </c>
      <c r="L1376" s="76"/>
    </row>
    <row r="1377" spans="2:12" ht="12" x14ac:dyDescent="0.15">
      <c r="B1377" s="121">
        <v>13</v>
      </c>
      <c r="C1377" s="167" t="s">
        <v>70</v>
      </c>
      <c r="D1377" s="168" t="s">
        <v>1251</v>
      </c>
      <c r="E1377" s="168" t="s">
        <v>770</v>
      </c>
      <c r="F1377" s="169" t="s">
        <v>770</v>
      </c>
      <c r="G1377" s="122" t="s">
        <v>770</v>
      </c>
      <c r="H1377" s="170">
        <v>710985.76300000004</v>
      </c>
      <c r="I1377" s="168" t="s">
        <v>1200</v>
      </c>
      <c r="J1377" s="168" t="s">
        <v>770</v>
      </c>
      <c r="L1377" s="76"/>
    </row>
    <row r="1378" spans="2:12" ht="12" x14ac:dyDescent="0.15">
      <c r="B1378" s="121">
        <v>13</v>
      </c>
      <c r="C1378" s="167" t="s">
        <v>70</v>
      </c>
      <c r="D1378" s="168" t="s">
        <v>770</v>
      </c>
      <c r="E1378" s="168" t="s">
        <v>770</v>
      </c>
      <c r="F1378" s="169" t="s">
        <v>770</v>
      </c>
      <c r="G1378" s="122" t="s">
        <v>770</v>
      </c>
      <c r="H1378" s="170">
        <v>95659.551999999996</v>
      </c>
      <c r="I1378" s="168" t="s">
        <v>1200</v>
      </c>
      <c r="J1378" s="168" t="s">
        <v>770</v>
      </c>
      <c r="L1378" s="76"/>
    </row>
    <row r="1379" spans="2:12" ht="12" x14ac:dyDescent="0.15">
      <c r="B1379" s="121">
        <v>13</v>
      </c>
      <c r="C1379" s="167" t="s">
        <v>70</v>
      </c>
      <c r="D1379" s="168" t="s">
        <v>770</v>
      </c>
      <c r="E1379" s="168" t="s">
        <v>770</v>
      </c>
      <c r="F1379" s="169" t="s">
        <v>770</v>
      </c>
      <c r="G1379" s="122" t="s">
        <v>770</v>
      </c>
      <c r="H1379" s="170">
        <v>159786.16700000002</v>
      </c>
      <c r="I1379" s="168" t="s">
        <v>1200</v>
      </c>
      <c r="J1379" s="168" t="s">
        <v>770</v>
      </c>
      <c r="L1379" s="76"/>
    </row>
    <row r="1380" spans="2:12" ht="12" x14ac:dyDescent="0.15">
      <c r="B1380" s="121">
        <v>13</v>
      </c>
      <c r="C1380" s="167" t="s">
        <v>70</v>
      </c>
      <c r="D1380" s="168" t="s">
        <v>770</v>
      </c>
      <c r="E1380" s="168" t="s">
        <v>770</v>
      </c>
      <c r="F1380" s="169" t="s">
        <v>770</v>
      </c>
      <c r="G1380" s="122" t="s">
        <v>770</v>
      </c>
      <c r="H1380" s="170">
        <v>159689.736</v>
      </c>
      <c r="I1380" s="168" t="s">
        <v>1200</v>
      </c>
      <c r="J1380" s="168" t="s">
        <v>770</v>
      </c>
      <c r="L1380" s="76"/>
    </row>
    <row r="1381" spans="2:12" ht="12" x14ac:dyDescent="0.15">
      <c r="B1381" s="121">
        <v>13</v>
      </c>
      <c r="C1381" s="167" t="s">
        <v>70</v>
      </c>
      <c r="D1381" s="168" t="s">
        <v>770</v>
      </c>
      <c r="E1381" s="168" t="s">
        <v>770</v>
      </c>
      <c r="F1381" s="169" t="s">
        <v>770</v>
      </c>
      <c r="G1381" s="122" t="s">
        <v>770</v>
      </c>
      <c r="H1381" s="170">
        <v>159689.736</v>
      </c>
      <c r="I1381" s="168" t="s">
        <v>1200</v>
      </c>
      <c r="J1381" s="168" t="s">
        <v>770</v>
      </c>
      <c r="L1381" s="76"/>
    </row>
    <row r="1382" spans="2:12" ht="12" x14ac:dyDescent="0.15">
      <c r="B1382" s="121">
        <v>13</v>
      </c>
      <c r="C1382" s="167" t="s">
        <v>70</v>
      </c>
      <c r="D1382" s="168" t="s">
        <v>770</v>
      </c>
      <c r="E1382" s="168" t="s">
        <v>770</v>
      </c>
      <c r="F1382" s="169" t="s">
        <v>770</v>
      </c>
      <c r="G1382" s="122" t="s">
        <v>770</v>
      </c>
      <c r="H1382" s="170">
        <v>159786.16700000002</v>
      </c>
      <c r="I1382" s="168" t="s">
        <v>1200</v>
      </c>
      <c r="J1382" s="168" t="s">
        <v>770</v>
      </c>
      <c r="L1382" s="76"/>
    </row>
    <row r="1383" spans="2:12" ht="12" x14ac:dyDescent="0.15">
      <c r="B1383" s="121">
        <v>13</v>
      </c>
      <c r="C1383" s="167" t="s">
        <v>70</v>
      </c>
      <c r="D1383" s="168" t="s">
        <v>770</v>
      </c>
      <c r="E1383" s="168" t="s">
        <v>770</v>
      </c>
      <c r="F1383" s="169" t="s">
        <v>770</v>
      </c>
      <c r="G1383" s="122" t="s">
        <v>770</v>
      </c>
      <c r="H1383" s="170">
        <v>159689.736</v>
      </c>
      <c r="I1383" s="168" t="s">
        <v>1200</v>
      </c>
      <c r="J1383" s="168" t="s">
        <v>770</v>
      </c>
      <c r="L1383" s="76"/>
    </row>
    <row r="1384" spans="2:12" ht="12" x14ac:dyDescent="0.15">
      <c r="B1384" s="121">
        <v>13</v>
      </c>
      <c r="C1384" s="167" t="s">
        <v>70</v>
      </c>
      <c r="D1384" s="168" t="s">
        <v>770</v>
      </c>
      <c r="E1384" s="168" t="s">
        <v>770</v>
      </c>
      <c r="F1384" s="169" t="s">
        <v>770</v>
      </c>
      <c r="G1384" s="122" t="s">
        <v>770</v>
      </c>
      <c r="H1384" s="170">
        <v>160171.891</v>
      </c>
      <c r="I1384" s="168" t="s">
        <v>1200</v>
      </c>
      <c r="J1384" s="168" t="s">
        <v>770</v>
      </c>
      <c r="L1384" s="76"/>
    </row>
    <row r="1385" spans="2:12" ht="12" x14ac:dyDescent="0.15">
      <c r="B1385" s="121">
        <v>13</v>
      </c>
      <c r="C1385" s="167" t="s">
        <v>70</v>
      </c>
      <c r="D1385" s="168" t="s">
        <v>770</v>
      </c>
      <c r="E1385" s="168" t="s">
        <v>770</v>
      </c>
      <c r="F1385" s="169" t="s">
        <v>770</v>
      </c>
      <c r="G1385" s="122" t="s">
        <v>770</v>
      </c>
      <c r="H1385" s="170">
        <v>162679.09700000001</v>
      </c>
      <c r="I1385" s="168" t="s">
        <v>1200</v>
      </c>
      <c r="J1385" s="168" t="s">
        <v>770</v>
      </c>
      <c r="L1385" s="76"/>
    </row>
    <row r="1386" spans="2:12" ht="12" x14ac:dyDescent="0.15">
      <c r="B1386" s="121">
        <v>13</v>
      </c>
      <c r="C1386" s="167" t="s">
        <v>70</v>
      </c>
      <c r="D1386" s="168" t="s">
        <v>770</v>
      </c>
      <c r="E1386" s="168" t="s">
        <v>770</v>
      </c>
      <c r="F1386" s="169" t="s">
        <v>770</v>
      </c>
      <c r="G1386" s="122" t="s">
        <v>770</v>
      </c>
      <c r="H1386" s="170">
        <v>162679.09700000001</v>
      </c>
      <c r="I1386" s="168" t="s">
        <v>1200</v>
      </c>
      <c r="J1386" s="168" t="s">
        <v>770</v>
      </c>
      <c r="L1386" s="76"/>
    </row>
    <row r="1387" spans="2:12" ht="12" x14ac:dyDescent="0.15">
      <c r="B1387" s="121">
        <v>13</v>
      </c>
      <c r="C1387" s="167" t="s">
        <v>70</v>
      </c>
      <c r="D1387" s="168" t="s">
        <v>770</v>
      </c>
      <c r="E1387" s="168" t="s">
        <v>770</v>
      </c>
      <c r="F1387" s="169" t="s">
        <v>770</v>
      </c>
      <c r="G1387" s="122" t="s">
        <v>770</v>
      </c>
      <c r="H1387" s="170">
        <v>162679.09700000001</v>
      </c>
      <c r="I1387" s="168" t="s">
        <v>1200</v>
      </c>
      <c r="J1387" s="168" t="s">
        <v>770</v>
      </c>
      <c r="L1387" s="76"/>
    </row>
    <row r="1388" spans="2:12" ht="12" x14ac:dyDescent="0.15">
      <c r="B1388" s="121">
        <v>13</v>
      </c>
      <c r="C1388" s="167" t="s">
        <v>70</v>
      </c>
      <c r="D1388" s="168" t="s">
        <v>770</v>
      </c>
      <c r="E1388" s="168" t="s">
        <v>770</v>
      </c>
      <c r="F1388" s="169" t="s">
        <v>770</v>
      </c>
      <c r="G1388" s="122" t="s">
        <v>770</v>
      </c>
      <c r="H1388" s="170">
        <v>174250.81700000001</v>
      </c>
      <c r="I1388" s="168" t="s">
        <v>1200</v>
      </c>
      <c r="J1388" s="168" t="s">
        <v>770</v>
      </c>
      <c r="L1388" s="76"/>
    </row>
    <row r="1389" spans="2:12" ht="12" x14ac:dyDescent="0.15">
      <c r="B1389" s="121">
        <v>13</v>
      </c>
      <c r="C1389" s="167" t="s">
        <v>70</v>
      </c>
      <c r="D1389" s="168" t="s">
        <v>770</v>
      </c>
      <c r="E1389" s="168" t="s">
        <v>770</v>
      </c>
      <c r="F1389" s="169" t="s">
        <v>770</v>
      </c>
      <c r="G1389" s="122" t="s">
        <v>770</v>
      </c>
      <c r="H1389" s="170">
        <v>174250.81700000001</v>
      </c>
      <c r="I1389" s="168" t="s">
        <v>1200</v>
      </c>
      <c r="J1389" s="168" t="s">
        <v>770</v>
      </c>
      <c r="L1389" s="76"/>
    </row>
    <row r="1390" spans="2:12" ht="12" x14ac:dyDescent="0.15">
      <c r="B1390" s="121">
        <v>13</v>
      </c>
      <c r="C1390" s="167" t="s">
        <v>70</v>
      </c>
      <c r="D1390" s="168" t="s">
        <v>770</v>
      </c>
      <c r="E1390" s="168" t="s">
        <v>770</v>
      </c>
      <c r="F1390" s="169" t="s">
        <v>770</v>
      </c>
      <c r="G1390" s="122" t="s">
        <v>770</v>
      </c>
      <c r="H1390" s="170">
        <v>174250.81700000001</v>
      </c>
      <c r="I1390" s="168" t="s">
        <v>1200</v>
      </c>
      <c r="J1390" s="168" t="s">
        <v>770</v>
      </c>
      <c r="L1390" s="76"/>
    </row>
    <row r="1391" spans="2:12" ht="12" x14ac:dyDescent="0.15">
      <c r="B1391" s="121">
        <v>13</v>
      </c>
      <c r="C1391" s="167" t="s">
        <v>70</v>
      </c>
      <c r="D1391" s="168" t="s">
        <v>770</v>
      </c>
      <c r="E1391" s="168" t="s">
        <v>770</v>
      </c>
      <c r="F1391" s="169" t="s">
        <v>770</v>
      </c>
      <c r="G1391" s="122" t="s">
        <v>770</v>
      </c>
      <c r="H1391" s="170">
        <v>174250.81700000001</v>
      </c>
      <c r="I1391" s="168" t="s">
        <v>1200</v>
      </c>
      <c r="J1391" s="168" t="s">
        <v>770</v>
      </c>
      <c r="L1391" s="76"/>
    </row>
    <row r="1392" spans="2:12" ht="12" x14ac:dyDescent="0.15">
      <c r="B1392" s="121">
        <v>13</v>
      </c>
      <c r="C1392" s="167" t="s">
        <v>70</v>
      </c>
      <c r="D1392" s="168" t="s">
        <v>770</v>
      </c>
      <c r="E1392" s="168" t="s">
        <v>770</v>
      </c>
      <c r="F1392" s="169" t="s">
        <v>770</v>
      </c>
      <c r="G1392" s="122" t="s">
        <v>770</v>
      </c>
      <c r="H1392" s="170">
        <v>175311.55799999999</v>
      </c>
      <c r="I1392" s="168" t="s">
        <v>1200</v>
      </c>
      <c r="J1392" s="168" t="s">
        <v>770</v>
      </c>
      <c r="L1392" s="76"/>
    </row>
    <row r="1393" spans="2:12" ht="12" x14ac:dyDescent="0.15">
      <c r="B1393" s="121">
        <v>13</v>
      </c>
      <c r="C1393" s="167" t="s">
        <v>70</v>
      </c>
      <c r="D1393" s="168" t="s">
        <v>770</v>
      </c>
      <c r="E1393" s="168" t="s">
        <v>770</v>
      </c>
      <c r="F1393" s="169" t="s">
        <v>770</v>
      </c>
      <c r="G1393" s="122" t="s">
        <v>770</v>
      </c>
      <c r="H1393" s="170">
        <v>175407.98900000003</v>
      </c>
      <c r="I1393" s="168" t="s">
        <v>1200</v>
      </c>
      <c r="J1393" s="168" t="s">
        <v>770</v>
      </c>
      <c r="L1393" s="76"/>
    </row>
    <row r="1394" spans="2:12" ht="12" x14ac:dyDescent="0.15">
      <c r="B1394" s="121">
        <v>13</v>
      </c>
      <c r="C1394" s="167" t="s">
        <v>70</v>
      </c>
      <c r="D1394" s="168" t="s">
        <v>770</v>
      </c>
      <c r="E1394" s="168" t="s">
        <v>770</v>
      </c>
      <c r="F1394" s="169" t="s">
        <v>770</v>
      </c>
      <c r="G1394" s="122" t="s">
        <v>770</v>
      </c>
      <c r="H1394" s="170">
        <v>175311.55799999999</v>
      </c>
      <c r="I1394" s="168" t="s">
        <v>1200</v>
      </c>
      <c r="J1394" s="168" t="s">
        <v>770</v>
      </c>
      <c r="L1394" s="76"/>
    </row>
    <row r="1395" spans="2:12" ht="12" x14ac:dyDescent="0.15">
      <c r="B1395" s="121">
        <v>13</v>
      </c>
      <c r="C1395" s="167" t="s">
        <v>70</v>
      </c>
      <c r="D1395" s="168" t="s">
        <v>770</v>
      </c>
      <c r="E1395" s="168" t="s">
        <v>770</v>
      </c>
      <c r="F1395" s="169" t="s">
        <v>770</v>
      </c>
      <c r="G1395" s="122" t="s">
        <v>770</v>
      </c>
      <c r="H1395" s="170">
        <v>175311.55799999999</v>
      </c>
      <c r="I1395" s="168" t="s">
        <v>1200</v>
      </c>
      <c r="J1395" s="168" t="s">
        <v>770</v>
      </c>
      <c r="L1395" s="76"/>
    </row>
    <row r="1396" spans="2:12" ht="12" x14ac:dyDescent="0.15">
      <c r="B1396" s="121">
        <v>13</v>
      </c>
      <c r="C1396" s="167" t="s">
        <v>70</v>
      </c>
      <c r="D1396" s="168" t="s">
        <v>770</v>
      </c>
      <c r="E1396" s="168" t="s">
        <v>770</v>
      </c>
      <c r="F1396" s="169" t="s">
        <v>770</v>
      </c>
      <c r="G1396" s="122" t="s">
        <v>770</v>
      </c>
      <c r="H1396" s="170">
        <v>175407.98900000003</v>
      </c>
      <c r="I1396" s="168" t="s">
        <v>1200</v>
      </c>
      <c r="J1396" s="168" t="s">
        <v>770</v>
      </c>
      <c r="L1396" s="76"/>
    </row>
    <row r="1397" spans="2:12" ht="12" x14ac:dyDescent="0.15">
      <c r="B1397" s="121">
        <v>13</v>
      </c>
      <c r="C1397" s="167" t="s">
        <v>70</v>
      </c>
      <c r="D1397" s="168" t="s">
        <v>770</v>
      </c>
      <c r="E1397" s="168" t="s">
        <v>770</v>
      </c>
      <c r="F1397" s="169" t="s">
        <v>770</v>
      </c>
      <c r="G1397" s="122" t="s">
        <v>770</v>
      </c>
      <c r="H1397" s="170">
        <v>181097.41800000001</v>
      </c>
      <c r="I1397" s="168" t="s">
        <v>1200</v>
      </c>
      <c r="J1397" s="168" t="s">
        <v>770</v>
      </c>
      <c r="L1397" s="76"/>
    </row>
    <row r="1398" spans="2:12" ht="12" x14ac:dyDescent="0.15">
      <c r="B1398" s="121">
        <v>13</v>
      </c>
      <c r="C1398" s="167" t="s">
        <v>70</v>
      </c>
      <c r="D1398" s="168" t="s">
        <v>770</v>
      </c>
      <c r="E1398" s="168" t="s">
        <v>770</v>
      </c>
      <c r="F1398" s="169" t="s">
        <v>770</v>
      </c>
      <c r="G1398" s="122" t="s">
        <v>770</v>
      </c>
      <c r="H1398" s="170">
        <v>170779.30100000001</v>
      </c>
      <c r="I1398" s="168" t="s">
        <v>1200</v>
      </c>
      <c r="J1398" s="168" t="s">
        <v>770</v>
      </c>
      <c r="L1398" s="76"/>
    </row>
    <row r="1399" spans="2:12" ht="12" x14ac:dyDescent="0.15">
      <c r="B1399" s="121">
        <v>13</v>
      </c>
      <c r="C1399" s="167" t="s">
        <v>70</v>
      </c>
      <c r="D1399" s="168" t="s">
        <v>770</v>
      </c>
      <c r="E1399" s="168" t="s">
        <v>770</v>
      </c>
      <c r="F1399" s="169" t="s">
        <v>770</v>
      </c>
      <c r="G1399" s="122" t="s">
        <v>770</v>
      </c>
      <c r="H1399" s="170">
        <v>170779.30100000001</v>
      </c>
      <c r="I1399" s="168" t="s">
        <v>1200</v>
      </c>
      <c r="J1399" s="168" t="s">
        <v>770</v>
      </c>
      <c r="L1399" s="76"/>
    </row>
    <row r="1400" spans="2:12" ht="12" x14ac:dyDescent="0.15">
      <c r="B1400" s="121">
        <v>13</v>
      </c>
      <c r="C1400" s="167" t="s">
        <v>70</v>
      </c>
      <c r="D1400" s="168" t="s">
        <v>770</v>
      </c>
      <c r="E1400" s="168" t="s">
        <v>770</v>
      </c>
      <c r="F1400" s="169" t="s">
        <v>770</v>
      </c>
      <c r="G1400" s="122" t="s">
        <v>770</v>
      </c>
      <c r="H1400" s="170">
        <v>206169.478</v>
      </c>
      <c r="I1400" s="168" t="s">
        <v>1200</v>
      </c>
      <c r="J1400" s="168" t="s">
        <v>770</v>
      </c>
      <c r="L1400" s="76"/>
    </row>
    <row r="1401" spans="2:12" ht="12" x14ac:dyDescent="0.15">
      <c r="B1401" s="121">
        <v>13</v>
      </c>
      <c r="C1401" s="167" t="s">
        <v>70</v>
      </c>
      <c r="D1401" s="168" t="s">
        <v>1251</v>
      </c>
      <c r="E1401" s="168" t="s">
        <v>770</v>
      </c>
      <c r="F1401" s="169" t="s">
        <v>770</v>
      </c>
      <c r="G1401" s="122" t="s">
        <v>770</v>
      </c>
      <c r="H1401" s="170">
        <v>159786.16700000002</v>
      </c>
      <c r="I1401" s="168" t="s">
        <v>1200</v>
      </c>
      <c r="J1401" s="168" t="s">
        <v>770</v>
      </c>
      <c r="L1401" s="76"/>
    </row>
    <row r="1402" spans="2:12" ht="12" x14ac:dyDescent="0.15">
      <c r="B1402" s="121">
        <v>13</v>
      </c>
      <c r="C1402" s="167" t="s">
        <v>70</v>
      </c>
      <c r="D1402" s="168" t="s">
        <v>1251</v>
      </c>
      <c r="E1402" s="168" t="s">
        <v>770</v>
      </c>
      <c r="F1402" s="169" t="s">
        <v>770</v>
      </c>
      <c r="G1402" s="122" t="s">
        <v>770</v>
      </c>
      <c r="H1402" s="170">
        <v>159786.16700000002</v>
      </c>
      <c r="I1402" s="168" t="s">
        <v>1200</v>
      </c>
      <c r="J1402" s="168" t="s">
        <v>770</v>
      </c>
      <c r="L1402" s="76"/>
    </row>
    <row r="1403" spans="2:12" ht="12" x14ac:dyDescent="0.15">
      <c r="B1403" s="121">
        <v>13</v>
      </c>
      <c r="C1403" s="167" t="s">
        <v>70</v>
      </c>
      <c r="D1403" s="168" t="s">
        <v>1251</v>
      </c>
      <c r="E1403" s="168" t="s">
        <v>770</v>
      </c>
      <c r="F1403" s="169" t="s">
        <v>770</v>
      </c>
      <c r="G1403" s="122" t="s">
        <v>770</v>
      </c>
      <c r="H1403" s="170">
        <v>159786.16700000002</v>
      </c>
      <c r="I1403" s="168" t="s">
        <v>1200</v>
      </c>
      <c r="J1403" s="168" t="s">
        <v>770</v>
      </c>
      <c r="L1403" s="76"/>
    </row>
    <row r="1404" spans="2:12" ht="12" x14ac:dyDescent="0.15">
      <c r="B1404" s="121">
        <v>13</v>
      </c>
      <c r="C1404" s="167" t="s">
        <v>70</v>
      </c>
      <c r="D1404" s="168" t="s">
        <v>1251</v>
      </c>
      <c r="E1404" s="168" t="s">
        <v>770</v>
      </c>
      <c r="F1404" s="169" t="s">
        <v>770</v>
      </c>
      <c r="G1404" s="122" t="s">
        <v>770</v>
      </c>
      <c r="H1404" s="170">
        <v>159689.736</v>
      </c>
      <c r="I1404" s="168" t="s">
        <v>1200</v>
      </c>
      <c r="J1404" s="168" t="s">
        <v>770</v>
      </c>
      <c r="L1404" s="76"/>
    </row>
    <row r="1405" spans="2:12" ht="12" x14ac:dyDescent="0.15">
      <c r="B1405" s="121">
        <v>13</v>
      </c>
      <c r="C1405" s="167" t="s">
        <v>70</v>
      </c>
      <c r="D1405" s="168" t="s">
        <v>1251</v>
      </c>
      <c r="E1405" s="168" t="s">
        <v>770</v>
      </c>
      <c r="F1405" s="169" t="s">
        <v>770</v>
      </c>
      <c r="G1405" s="122" t="s">
        <v>770</v>
      </c>
      <c r="H1405" s="170">
        <v>273671.17800000001</v>
      </c>
      <c r="I1405" s="168" t="s">
        <v>1200</v>
      </c>
      <c r="J1405" s="168" t="s">
        <v>770</v>
      </c>
      <c r="L1405" s="76"/>
    </row>
    <row r="1406" spans="2:12" ht="12" x14ac:dyDescent="0.15">
      <c r="B1406" s="121">
        <v>13</v>
      </c>
      <c r="C1406" s="167" t="s">
        <v>70</v>
      </c>
      <c r="D1406" s="168" t="s">
        <v>1251</v>
      </c>
      <c r="E1406" s="168" t="s">
        <v>770</v>
      </c>
      <c r="F1406" s="169" t="s">
        <v>770</v>
      </c>
      <c r="G1406" s="122" t="s">
        <v>770</v>
      </c>
      <c r="H1406" s="170">
        <v>476272.70900000003</v>
      </c>
      <c r="I1406" s="168" t="s">
        <v>1200</v>
      </c>
      <c r="J1406" s="168" t="s">
        <v>770</v>
      </c>
      <c r="L1406" s="76"/>
    </row>
    <row r="1407" spans="2:12" ht="12" x14ac:dyDescent="0.15">
      <c r="B1407" s="121">
        <v>13</v>
      </c>
      <c r="C1407" s="167" t="s">
        <v>70</v>
      </c>
      <c r="D1407" s="168" t="s">
        <v>1251</v>
      </c>
      <c r="E1407" s="168" t="s">
        <v>770</v>
      </c>
      <c r="F1407" s="169" t="s">
        <v>770</v>
      </c>
      <c r="G1407" s="122" t="s">
        <v>770</v>
      </c>
      <c r="H1407" s="170">
        <v>95659.551999999996</v>
      </c>
      <c r="I1407" s="168" t="s">
        <v>1200</v>
      </c>
      <c r="J1407" s="168" t="s">
        <v>770</v>
      </c>
      <c r="L1407" s="76"/>
    </row>
    <row r="1408" spans="2:12" ht="12" x14ac:dyDescent="0.15">
      <c r="B1408" s="121">
        <v>13</v>
      </c>
      <c r="C1408" s="167" t="s">
        <v>70</v>
      </c>
      <c r="D1408" s="168" t="s">
        <v>1251</v>
      </c>
      <c r="E1408" s="168" t="s">
        <v>770</v>
      </c>
      <c r="F1408" s="169" t="s">
        <v>770</v>
      </c>
      <c r="G1408" s="122" t="s">
        <v>770</v>
      </c>
      <c r="H1408" s="170">
        <v>95563.120999999999</v>
      </c>
      <c r="I1408" s="168" t="s">
        <v>1200</v>
      </c>
      <c r="J1408" s="168" t="s">
        <v>770</v>
      </c>
      <c r="L1408" s="76"/>
    </row>
    <row r="1409" spans="2:12" ht="12" x14ac:dyDescent="0.15">
      <c r="B1409" s="121">
        <v>13</v>
      </c>
      <c r="C1409" s="167" t="s">
        <v>70</v>
      </c>
      <c r="D1409" s="168" t="s">
        <v>1251</v>
      </c>
      <c r="E1409" s="168" t="s">
        <v>770</v>
      </c>
      <c r="F1409" s="169" t="s">
        <v>770</v>
      </c>
      <c r="G1409" s="122" t="s">
        <v>770</v>
      </c>
      <c r="H1409" s="170">
        <v>378588.10599999997</v>
      </c>
      <c r="I1409" s="168" t="s">
        <v>1200</v>
      </c>
      <c r="J1409" s="168" t="s">
        <v>770</v>
      </c>
      <c r="L1409" s="76"/>
    </row>
    <row r="1410" spans="2:12" ht="12" x14ac:dyDescent="0.15">
      <c r="B1410" s="121">
        <v>13</v>
      </c>
      <c r="C1410" s="167" t="s">
        <v>70</v>
      </c>
      <c r="D1410" s="168" t="s">
        <v>1251</v>
      </c>
      <c r="E1410" s="168" t="s">
        <v>770</v>
      </c>
      <c r="F1410" s="169" t="s">
        <v>770</v>
      </c>
      <c r="G1410" s="122" t="s">
        <v>770</v>
      </c>
      <c r="H1410" s="170">
        <v>159689.736</v>
      </c>
      <c r="I1410" s="168" t="s">
        <v>1200</v>
      </c>
      <c r="J1410" s="168" t="s">
        <v>770</v>
      </c>
      <c r="L1410" s="76"/>
    </row>
    <row r="1411" spans="2:12" ht="12" x14ac:dyDescent="0.15">
      <c r="B1411" s="121">
        <v>13</v>
      </c>
      <c r="C1411" s="167" t="s">
        <v>70</v>
      </c>
      <c r="D1411" s="168" t="s">
        <v>1251</v>
      </c>
      <c r="E1411" s="168" t="s">
        <v>770</v>
      </c>
      <c r="F1411" s="169" t="s">
        <v>770</v>
      </c>
      <c r="G1411" s="122" t="s">
        <v>770</v>
      </c>
      <c r="H1411" s="170">
        <v>159786.16700000002</v>
      </c>
      <c r="I1411" s="168" t="s">
        <v>1200</v>
      </c>
      <c r="J1411" s="168" t="s">
        <v>770</v>
      </c>
      <c r="L1411" s="76"/>
    </row>
    <row r="1412" spans="2:12" ht="12" x14ac:dyDescent="0.15">
      <c r="B1412" s="121">
        <v>13</v>
      </c>
      <c r="C1412" s="167" t="s">
        <v>70</v>
      </c>
      <c r="D1412" s="168" t="s">
        <v>1251</v>
      </c>
      <c r="E1412" s="168" t="s">
        <v>770</v>
      </c>
      <c r="F1412" s="169" t="s">
        <v>770</v>
      </c>
      <c r="G1412" s="122" t="s">
        <v>770</v>
      </c>
      <c r="H1412" s="170">
        <v>91898.743000000002</v>
      </c>
      <c r="I1412" s="168" t="s">
        <v>1200</v>
      </c>
      <c r="J1412" s="168" t="s">
        <v>770</v>
      </c>
      <c r="L1412" s="76"/>
    </row>
    <row r="1413" spans="2:12" ht="12" x14ac:dyDescent="0.15">
      <c r="B1413" s="121">
        <v>13</v>
      </c>
      <c r="C1413" s="167" t="s">
        <v>70</v>
      </c>
      <c r="D1413" s="168" t="s">
        <v>1251</v>
      </c>
      <c r="E1413" s="168" t="s">
        <v>770</v>
      </c>
      <c r="F1413" s="169" t="s">
        <v>770</v>
      </c>
      <c r="G1413" s="122" t="s">
        <v>770</v>
      </c>
      <c r="H1413" s="170">
        <v>160268.32200000001</v>
      </c>
      <c r="I1413" s="168" t="s">
        <v>1200</v>
      </c>
      <c r="J1413" s="168" t="s">
        <v>770</v>
      </c>
      <c r="L1413" s="76"/>
    </row>
    <row r="1414" spans="2:12" ht="12" x14ac:dyDescent="0.15">
      <c r="B1414" s="121">
        <v>13</v>
      </c>
      <c r="C1414" s="167" t="s">
        <v>70</v>
      </c>
      <c r="D1414" s="168" t="s">
        <v>1251</v>
      </c>
      <c r="E1414" s="168" t="s">
        <v>770</v>
      </c>
      <c r="F1414" s="169" t="s">
        <v>770</v>
      </c>
      <c r="G1414" s="122" t="s">
        <v>770</v>
      </c>
      <c r="H1414" s="170">
        <v>160268.32200000001</v>
      </c>
      <c r="I1414" s="168" t="s">
        <v>1200</v>
      </c>
      <c r="J1414" s="168" t="s">
        <v>770</v>
      </c>
      <c r="L1414" s="76"/>
    </row>
    <row r="1415" spans="2:12" ht="12" x14ac:dyDescent="0.15">
      <c r="B1415" s="121">
        <v>13</v>
      </c>
      <c r="C1415" s="167" t="s">
        <v>70</v>
      </c>
      <c r="D1415" s="168" t="s">
        <v>1251</v>
      </c>
      <c r="E1415" s="168" t="s">
        <v>770</v>
      </c>
      <c r="F1415" s="169" t="s">
        <v>770</v>
      </c>
      <c r="G1415" s="122" t="s">
        <v>770</v>
      </c>
      <c r="H1415" s="170">
        <v>160268.32200000001</v>
      </c>
      <c r="I1415" s="168" t="s">
        <v>1200</v>
      </c>
      <c r="J1415" s="168" t="s">
        <v>770</v>
      </c>
      <c r="L1415" s="76"/>
    </row>
    <row r="1416" spans="2:12" ht="12" x14ac:dyDescent="0.15">
      <c r="B1416" s="121">
        <v>13</v>
      </c>
      <c r="C1416" s="167" t="s">
        <v>70</v>
      </c>
      <c r="D1416" s="168" t="s">
        <v>1251</v>
      </c>
      <c r="E1416" s="168" t="s">
        <v>770</v>
      </c>
      <c r="F1416" s="169" t="s">
        <v>770</v>
      </c>
      <c r="G1416" s="122" t="s">
        <v>770</v>
      </c>
      <c r="H1416" s="170">
        <v>135871.27900000001</v>
      </c>
      <c r="I1416" s="168" t="s">
        <v>1200</v>
      </c>
      <c r="J1416" s="168" t="s">
        <v>770</v>
      </c>
      <c r="L1416" s="76"/>
    </row>
    <row r="1417" spans="2:12" ht="12" x14ac:dyDescent="0.15">
      <c r="B1417" s="121">
        <v>13</v>
      </c>
      <c r="C1417" s="167" t="s">
        <v>70</v>
      </c>
      <c r="D1417" s="168" t="s">
        <v>1251</v>
      </c>
      <c r="E1417" s="168" t="s">
        <v>770</v>
      </c>
      <c r="F1417" s="169" t="s">
        <v>770</v>
      </c>
      <c r="G1417" s="122" t="s">
        <v>770</v>
      </c>
      <c r="H1417" s="170">
        <v>356987.56200000003</v>
      </c>
      <c r="I1417" s="168" t="s">
        <v>1200</v>
      </c>
      <c r="J1417" s="168" t="s">
        <v>770</v>
      </c>
      <c r="L1417" s="76"/>
    </row>
    <row r="1418" spans="2:12" ht="12" x14ac:dyDescent="0.15">
      <c r="B1418" s="121">
        <v>13</v>
      </c>
      <c r="C1418" s="167" t="s">
        <v>70</v>
      </c>
      <c r="D1418" s="168" t="s">
        <v>1251</v>
      </c>
      <c r="E1418" s="168" t="s">
        <v>770</v>
      </c>
      <c r="F1418" s="169" t="s">
        <v>770</v>
      </c>
      <c r="G1418" s="122" t="s">
        <v>770</v>
      </c>
      <c r="H1418" s="170">
        <v>162679.09700000001</v>
      </c>
      <c r="I1418" s="168" t="s">
        <v>1200</v>
      </c>
      <c r="J1418" s="168" t="s">
        <v>770</v>
      </c>
      <c r="L1418" s="76"/>
    </row>
    <row r="1419" spans="2:12" ht="12" x14ac:dyDescent="0.15">
      <c r="B1419" s="121">
        <v>13</v>
      </c>
      <c r="C1419" s="167" t="s">
        <v>70</v>
      </c>
      <c r="D1419" s="168" t="s">
        <v>1251</v>
      </c>
      <c r="E1419" s="168" t="s">
        <v>770</v>
      </c>
      <c r="F1419" s="169" t="s">
        <v>770</v>
      </c>
      <c r="G1419" s="122" t="s">
        <v>770</v>
      </c>
      <c r="H1419" s="170">
        <v>162679.09700000001</v>
      </c>
      <c r="I1419" s="168" t="s">
        <v>1200</v>
      </c>
      <c r="J1419" s="168" t="s">
        <v>770</v>
      </c>
      <c r="L1419" s="76"/>
    </row>
    <row r="1420" spans="2:12" ht="12" x14ac:dyDescent="0.15">
      <c r="B1420" s="121">
        <v>13</v>
      </c>
      <c r="C1420" s="167" t="s">
        <v>70</v>
      </c>
      <c r="D1420" s="168" t="s">
        <v>1251</v>
      </c>
      <c r="E1420" s="168" t="s">
        <v>770</v>
      </c>
      <c r="F1420" s="169" t="s">
        <v>770</v>
      </c>
      <c r="G1420" s="122" t="s">
        <v>770</v>
      </c>
      <c r="H1420" s="170">
        <v>273671.17800000001</v>
      </c>
      <c r="I1420" s="168" t="s">
        <v>1200</v>
      </c>
      <c r="J1420" s="168" t="s">
        <v>770</v>
      </c>
      <c r="L1420" s="76"/>
    </row>
    <row r="1421" spans="2:12" ht="12" x14ac:dyDescent="0.15">
      <c r="B1421" s="121">
        <v>13</v>
      </c>
      <c r="C1421" s="167" t="s">
        <v>70</v>
      </c>
      <c r="D1421" s="168" t="s">
        <v>1251</v>
      </c>
      <c r="E1421" s="168" t="s">
        <v>770</v>
      </c>
      <c r="F1421" s="169" t="s">
        <v>770</v>
      </c>
      <c r="G1421" s="122" t="s">
        <v>770</v>
      </c>
      <c r="H1421" s="170">
        <v>135871.27900000001</v>
      </c>
      <c r="I1421" s="168" t="s">
        <v>1200</v>
      </c>
      <c r="J1421" s="168" t="s">
        <v>770</v>
      </c>
      <c r="L1421" s="76"/>
    </row>
    <row r="1422" spans="2:12" ht="12" x14ac:dyDescent="0.15">
      <c r="B1422" s="121">
        <v>13</v>
      </c>
      <c r="C1422" s="167" t="s">
        <v>70</v>
      </c>
      <c r="D1422" s="168" t="s">
        <v>1251</v>
      </c>
      <c r="E1422" s="168" t="s">
        <v>770</v>
      </c>
      <c r="F1422" s="169" t="s">
        <v>770</v>
      </c>
      <c r="G1422" s="122" t="s">
        <v>770</v>
      </c>
      <c r="H1422" s="170">
        <v>162679.09700000001</v>
      </c>
      <c r="I1422" s="168" t="s">
        <v>1200</v>
      </c>
      <c r="J1422" s="168" t="s">
        <v>770</v>
      </c>
      <c r="L1422" s="76"/>
    </row>
    <row r="1423" spans="2:12" ht="12" x14ac:dyDescent="0.15">
      <c r="B1423" s="121">
        <v>13</v>
      </c>
      <c r="C1423" s="167" t="s">
        <v>70</v>
      </c>
      <c r="D1423" s="168" t="s">
        <v>1251</v>
      </c>
      <c r="E1423" s="168" t="s">
        <v>770</v>
      </c>
      <c r="F1423" s="169" t="s">
        <v>770</v>
      </c>
      <c r="G1423" s="122" t="s">
        <v>770</v>
      </c>
      <c r="H1423" s="170">
        <v>179940.24600000001</v>
      </c>
      <c r="I1423" s="168" t="s">
        <v>1200</v>
      </c>
      <c r="J1423" s="168" t="s">
        <v>770</v>
      </c>
      <c r="L1423" s="76"/>
    </row>
    <row r="1424" spans="2:12" ht="12" x14ac:dyDescent="0.15">
      <c r="B1424" s="121">
        <v>13</v>
      </c>
      <c r="C1424" s="167" t="s">
        <v>70</v>
      </c>
      <c r="D1424" s="168" t="s">
        <v>1251</v>
      </c>
      <c r="E1424" s="168" t="s">
        <v>770</v>
      </c>
      <c r="F1424" s="169" t="s">
        <v>770</v>
      </c>
      <c r="G1424" s="122" t="s">
        <v>770</v>
      </c>
      <c r="H1424" s="170">
        <v>158050.40900000001</v>
      </c>
      <c r="I1424" s="168" t="s">
        <v>1200</v>
      </c>
      <c r="J1424" s="168" t="s">
        <v>770</v>
      </c>
      <c r="L1424" s="76"/>
    </row>
    <row r="1425" spans="2:12" ht="12" x14ac:dyDescent="0.15">
      <c r="B1425" s="121">
        <v>13</v>
      </c>
      <c r="C1425" s="167" t="s">
        <v>70</v>
      </c>
      <c r="D1425" s="168" t="s">
        <v>1251</v>
      </c>
      <c r="E1425" s="168" t="s">
        <v>770</v>
      </c>
      <c r="F1425" s="169" t="s">
        <v>770</v>
      </c>
      <c r="G1425" s="122" t="s">
        <v>770</v>
      </c>
      <c r="H1425" s="170">
        <v>181000.98699999999</v>
      </c>
      <c r="I1425" s="168" t="s">
        <v>1200</v>
      </c>
      <c r="J1425" s="168" t="s">
        <v>770</v>
      </c>
      <c r="L1425" s="76"/>
    </row>
    <row r="1426" spans="2:12" ht="12" x14ac:dyDescent="0.15">
      <c r="B1426" s="121">
        <v>13</v>
      </c>
      <c r="C1426" s="167" t="s">
        <v>70</v>
      </c>
      <c r="D1426" s="168" t="s">
        <v>1251</v>
      </c>
      <c r="E1426" s="168" t="s">
        <v>770</v>
      </c>
      <c r="F1426" s="169" t="s">
        <v>770</v>
      </c>
      <c r="G1426" s="122" t="s">
        <v>770</v>
      </c>
      <c r="H1426" s="170">
        <v>181097.41800000001</v>
      </c>
      <c r="I1426" s="168" t="s">
        <v>1200</v>
      </c>
      <c r="J1426" s="168" t="s">
        <v>770</v>
      </c>
      <c r="L1426" s="76"/>
    </row>
    <row r="1427" spans="2:12" ht="12" x14ac:dyDescent="0.15">
      <c r="B1427" s="121">
        <v>13</v>
      </c>
      <c r="C1427" s="167" t="s">
        <v>70</v>
      </c>
      <c r="D1427" s="168" t="s">
        <v>1251</v>
      </c>
      <c r="E1427" s="168" t="s">
        <v>770</v>
      </c>
      <c r="F1427" s="169" t="s">
        <v>770</v>
      </c>
      <c r="G1427" s="122" t="s">
        <v>770</v>
      </c>
      <c r="H1427" s="170">
        <v>273671.17800000001</v>
      </c>
      <c r="I1427" s="168" t="s">
        <v>1200</v>
      </c>
      <c r="J1427" s="168" t="s">
        <v>770</v>
      </c>
      <c r="L1427" s="76"/>
    </row>
    <row r="1428" spans="2:12" ht="12" x14ac:dyDescent="0.15">
      <c r="B1428" s="121">
        <v>13</v>
      </c>
      <c r="C1428" s="167" t="s">
        <v>70</v>
      </c>
      <c r="D1428" s="168" t="s">
        <v>1251</v>
      </c>
      <c r="E1428" s="168" t="s">
        <v>770</v>
      </c>
      <c r="F1428" s="169" t="s">
        <v>770</v>
      </c>
      <c r="G1428" s="122" t="s">
        <v>770</v>
      </c>
      <c r="H1428" s="170">
        <v>158146.84</v>
      </c>
      <c r="I1428" s="168" t="s">
        <v>1200</v>
      </c>
      <c r="J1428" s="168" t="s">
        <v>770</v>
      </c>
      <c r="L1428" s="76"/>
    </row>
    <row r="1429" spans="2:12" ht="12" x14ac:dyDescent="0.15">
      <c r="B1429" s="121">
        <v>13</v>
      </c>
      <c r="C1429" s="167" t="s">
        <v>70</v>
      </c>
      <c r="D1429" s="168" t="s">
        <v>1251</v>
      </c>
      <c r="E1429" s="168" t="s">
        <v>770</v>
      </c>
      <c r="F1429" s="169" t="s">
        <v>770</v>
      </c>
      <c r="G1429" s="122" t="s">
        <v>770</v>
      </c>
      <c r="H1429" s="170">
        <v>112052.822</v>
      </c>
      <c r="I1429" s="168" t="s">
        <v>1200</v>
      </c>
      <c r="J1429" s="168" t="s">
        <v>770</v>
      </c>
      <c r="L1429" s="76"/>
    </row>
    <row r="1430" spans="2:12" ht="12" x14ac:dyDescent="0.15">
      <c r="B1430" s="121">
        <v>13</v>
      </c>
      <c r="C1430" s="167" t="s">
        <v>70</v>
      </c>
      <c r="D1430" s="168" t="s">
        <v>770</v>
      </c>
      <c r="E1430" s="168" t="s">
        <v>770</v>
      </c>
      <c r="F1430" s="169" t="s">
        <v>770</v>
      </c>
      <c r="G1430" s="122" t="s">
        <v>770</v>
      </c>
      <c r="H1430" s="170">
        <v>101734.70500000002</v>
      </c>
      <c r="I1430" s="168" t="s">
        <v>1200</v>
      </c>
      <c r="J1430" s="168" t="s">
        <v>770</v>
      </c>
      <c r="L1430" s="76"/>
    </row>
    <row r="1431" spans="2:12" ht="12" x14ac:dyDescent="0.15">
      <c r="B1431" s="121">
        <v>13</v>
      </c>
      <c r="C1431" s="167" t="s">
        <v>70</v>
      </c>
      <c r="D1431" s="168" t="s">
        <v>770</v>
      </c>
      <c r="E1431" s="168" t="s">
        <v>770</v>
      </c>
      <c r="F1431" s="169" t="s">
        <v>770</v>
      </c>
      <c r="G1431" s="122" t="s">
        <v>770</v>
      </c>
      <c r="H1431" s="170">
        <v>92573.759999999995</v>
      </c>
      <c r="I1431" s="168" t="s">
        <v>1200</v>
      </c>
      <c r="J1431" s="168" t="s">
        <v>770</v>
      </c>
      <c r="L1431" s="76"/>
    </row>
    <row r="1432" spans="2:12" ht="12" x14ac:dyDescent="0.15">
      <c r="B1432" s="121">
        <v>13</v>
      </c>
      <c r="C1432" s="167" t="s">
        <v>70</v>
      </c>
      <c r="D1432" s="168" t="s">
        <v>1251</v>
      </c>
      <c r="E1432" s="168" t="s">
        <v>770</v>
      </c>
      <c r="F1432" s="169" t="s">
        <v>770</v>
      </c>
      <c r="G1432" s="122" t="s">
        <v>770</v>
      </c>
      <c r="H1432" s="170">
        <v>557756.9040000001</v>
      </c>
      <c r="I1432" s="168" t="s">
        <v>1200</v>
      </c>
      <c r="J1432" s="168" t="s">
        <v>770</v>
      </c>
      <c r="L1432" s="76"/>
    </row>
    <row r="1433" spans="2:12" ht="12" x14ac:dyDescent="0.15">
      <c r="B1433" s="121">
        <v>13</v>
      </c>
      <c r="C1433" s="167" t="s">
        <v>70</v>
      </c>
      <c r="D1433" s="168" t="s">
        <v>770</v>
      </c>
      <c r="E1433" s="168" t="s">
        <v>770</v>
      </c>
      <c r="F1433" s="169" t="s">
        <v>770</v>
      </c>
      <c r="G1433" s="122" t="s">
        <v>770</v>
      </c>
      <c r="H1433" s="170">
        <v>581382.49900000007</v>
      </c>
      <c r="I1433" s="168" t="s">
        <v>1200</v>
      </c>
      <c r="J1433" s="168" t="s">
        <v>770</v>
      </c>
      <c r="L1433" s="76"/>
    </row>
    <row r="1434" spans="2:12" ht="12" x14ac:dyDescent="0.15">
      <c r="B1434" s="121">
        <v>13</v>
      </c>
      <c r="C1434" s="167" t="s">
        <v>70</v>
      </c>
      <c r="D1434" s="168" t="s">
        <v>770</v>
      </c>
      <c r="E1434" s="168" t="s">
        <v>770</v>
      </c>
      <c r="F1434" s="169" t="s">
        <v>770</v>
      </c>
      <c r="G1434" s="122" t="s">
        <v>770</v>
      </c>
      <c r="H1434" s="170">
        <v>13104876.469000001</v>
      </c>
      <c r="I1434" s="168" t="s">
        <v>1200</v>
      </c>
      <c r="J1434" s="168" t="s">
        <v>770</v>
      </c>
      <c r="L1434" s="76"/>
    </row>
    <row r="1435" spans="2:12" ht="12" x14ac:dyDescent="0.15">
      <c r="B1435" s="121">
        <v>13</v>
      </c>
      <c r="C1435" s="167" t="s">
        <v>70</v>
      </c>
      <c r="D1435" s="168" t="s">
        <v>770</v>
      </c>
      <c r="E1435" s="168" t="s">
        <v>770</v>
      </c>
      <c r="F1435" s="169" t="s">
        <v>770</v>
      </c>
      <c r="G1435" s="122" t="s">
        <v>770</v>
      </c>
      <c r="H1435" s="170">
        <v>1657648.8900000001</v>
      </c>
      <c r="I1435" s="168" t="s">
        <v>1200</v>
      </c>
      <c r="J1435" s="168" t="s">
        <v>770</v>
      </c>
      <c r="L1435" s="76"/>
    </row>
    <row r="1436" spans="2:12" ht="12" x14ac:dyDescent="0.15">
      <c r="B1436" s="121">
        <v>13</v>
      </c>
      <c r="C1436" s="167" t="s">
        <v>70</v>
      </c>
      <c r="D1436" s="168" t="s">
        <v>770</v>
      </c>
      <c r="E1436" s="168" t="s">
        <v>770</v>
      </c>
      <c r="F1436" s="169" t="s">
        <v>770</v>
      </c>
      <c r="G1436" s="122" t="s">
        <v>770</v>
      </c>
      <c r="H1436" s="170">
        <v>410313.90499999997</v>
      </c>
      <c r="I1436" s="168" t="s">
        <v>1200</v>
      </c>
      <c r="J1436" s="168" t="s">
        <v>770</v>
      </c>
      <c r="L1436" s="76"/>
    </row>
    <row r="1437" spans="2:12" ht="12" x14ac:dyDescent="0.15">
      <c r="B1437" s="121">
        <v>13</v>
      </c>
      <c r="C1437" s="167" t="s">
        <v>70</v>
      </c>
      <c r="D1437" s="168" t="s">
        <v>770</v>
      </c>
      <c r="E1437" s="168" t="s">
        <v>770</v>
      </c>
      <c r="F1437" s="169" t="s">
        <v>770</v>
      </c>
      <c r="G1437" s="122" t="s">
        <v>770</v>
      </c>
      <c r="H1437" s="170">
        <v>205590.89200000002</v>
      </c>
      <c r="I1437" s="168" t="s">
        <v>1200</v>
      </c>
      <c r="J1437" s="168" t="s">
        <v>770</v>
      </c>
      <c r="L1437" s="76"/>
    </row>
    <row r="1438" spans="2:12" ht="12" x14ac:dyDescent="0.15">
      <c r="B1438" s="121">
        <v>13</v>
      </c>
      <c r="C1438" s="167" t="s">
        <v>70</v>
      </c>
      <c r="D1438" s="168" t="s">
        <v>770</v>
      </c>
      <c r="E1438" s="168" t="s">
        <v>770</v>
      </c>
      <c r="F1438" s="169" t="s">
        <v>770</v>
      </c>
      <c r="G1438" s="122" t="s">
        <v>770</v>
      </c>
      <c r="H1438" s="170">
        <v>140210.674</v>
      </c>
      <c r="I1438" s="168" t="s">
        <v>1200</v>
      </c>
      <c r="J1438" s="168" t="s">
        <v>770</v>
      </c>
      <c r="L1438" s="76"/>
    </row>
    <row r="1439" spans="2:12" ht="12" x14ac:dyDescent="0.15">
      <c r="B1439" s="121">
        <v>13</v>
      </c>
      <c r="C1439" s="167" t="s">
        <v>70</v>
      </c>
      <c r="D1439" s="168" t="s">
        <v>1251</v>
      </c>
      <c r="E1439" s="168" t="s">
        <v>770</v>
      </c>
      <c r="F1439" s="169" t="s">
        <v>770</v>
      </c>
      <c r="G1439" s="122" t="s">
        <v>770</v>
      </c>
      <c r="H1439" s="170">
        <v>136160.57199999999</v>
      </c>
      <c r="I1439" s="168" t="s">
        <v>1200</v>
      </c>
      <c r="J1439" s="168" t="s">
        <v>770</v>
      </c>
      <c r="L1439" s="76"/>
    </row>
    <row r="1440" spans="2:12" ht="12" x14ac:dyDescent="0.15">
      <c r="B1440" s="121">
        <v>13</v>
      </c>
      <c r="C1440" s="167" t="s">
        <v>70</v>
      </c>
      <c r="D1440" s="168" t="s">
        <v>770</v>
      </c>
      <c r="E1440" s="168" t="s">
        <v>770</v>
      </c>
      <c r="F1440" s="169" t="s">
        <v>770</v>
      </c>
      <c r="G1440" s="122" t="s">
        <v>770</v>
      </c>
      <c r="H1440" s="170">
        <v>196719.24</v>
      </c>
      <c r="I1440" s="168" t="s">
        <v>1200</v>
      </c>
      <c r="J1440" s="168" t="s">
        <v>770</v>
      </c>
      <c r="L1440" s="76"/>
    </row>
    <row r="1441" spans="2:12" ht="12" x14ac:dyDescent="0.15">
      <c r="B1441" s="121">
        <v>13</v>
      </c>
      <c r="C1441" s="167" t="s">
        <v>70</v>
      </c>
      <c r="D1441" s="168" t="s">
        <v>1507</v>
      </c>
      <c r="E1441" s="168" t="s">
        <v>770</v>
      </c>
      <c r="F1441" s="169" t="s">
        <v>770</v>
      </c>
      <c r="G1441" s="122" t="s">
        <v>770</v>
      </c>
      <c r="H1441" s="170">
        <v>978678.21900000004</v>
      </c>
      <c r="I1441" s="168" t="s">
        <v>1200</v>
      </c>
      <c r="J1441" s="168" t="s">
        <v>770</v>
      </c>
      <c r="L1441" s="76"/>
    </row>
    <row r="1442" spans="2:12" ht="12" x14ac:dyDescent="0.15">
      <c r="B1442" s="121">
        <v>13</v>
      </c>
      <c r="C1442" s="167" t="s">
        <v>70</v>
      </c>
      <c r="D1442" s="168" t="s">
        <v>1251</v>
      </c>
      <c r="E1442" s="168" t="s">
        <v>770</v>
      </c>
      <c r="F1442" s="169" t="s">
        <v>770</v>
      </c>
      <c r="G1442" s="122" t="s">
        <v>770</v>
      </c>
      <c r="H1442" s="170">
        <v>96816.724000000002</v>
      </c>
      <c r="I1442" s="168" t="s">
        <v>1200</v>
      </c>
      <c r="J1442" s="168" t="s">
        <v>770</v>
      </c>
      <c r="L1442" s="76"/>
    </row>
    <row r="1443" spans="2:12" ht="12" x14ac:dyDescent="0.15">
      <c r="B1443" s="121">
        <v>13</v>
      </c>
      <c r="C1443" s="167" t="s">
        <v>70</v>
      </c>
      <c r="D1443" s="168" t="s">
        <v>1251</v>
      </c>
      <c r="E1443" s="168" t="s">
        <v>770</v>
      </c>
      <c r="F1443" s="169" t="s">
        <v>770</v>
      </c>
      <c r="G1443" s="122" t="s">
        <v>770</v>
      </c>
      <c r="H1443" s="170">
        <v>193054.86199999999</v>
      </c>
      <c r="I1443" s="168" t="s">
        <v>1200</v>
      </c>
      <c r="J1443" s="168" t="s">
        <v>770</v>
      </c>
      <c r="L1443" s="76"/>
    </row>
    <row r="1444" spans="2:12" ht="12" x14ac:dyDescent="0.15">
      <c r="B1444" s="121">
        <v>13</v>
      </c>
      <c r="C1444" s="167" t="s">
        <v>70</v>
      </c>
      <c r="D1444" s="168" t="s">
        <v>1251</v>
      </c>
      <c r="E1444" s="168" t="s">
        <v>770</v>
      </c>
      <c r="F1444" s="169" t="s">
        <v>770</v>
      </c>
      <c r="G1444" s="122" t="s">
        <v>770</v>
      </c>
      <c r="H1444" s="170">
        <v>192862</v>
      </c>
      <c r="I1444" s="168" t="s">
        <v>1200</v>
      </c>
      <c r="J1444" s="168" t="s">
        <v>770</v>
      </c>
      <c r="L1444" s="76"/>
    </row>
    <row r="1445" spans="2:12" ht="12" x14ac:dyDescent="0.15">
      <c r="B1445" s="121">
        <v>13</v>
      </c>
      <c r="C1445" s="167" t="s">
        <v>70</v>
      </c>
      <c r="D1445" s="168" t="s">
        <v>1251</v>
      </c>
      <c r="E1445" s="168" t="s">
        <v>770</v>
      </c>
      <c r="F1445" s="169" t="s">
        <v>770</v>
      </c>
      <c r="G1445" s="122" t="s">
        <v>770</v>
      </c>
      <c r="H1445" s="170">
        <v>5050862.9179999996</v>
      </c>
      <c r="I1445" s="168" t="s">
        <v>1200</v>
      </c>
      <c r="J1445" s="168" t="s">
        <v>770</v>
      </c>
      <c r="L1445" s="76"/>
    </row>
    <row r="1446" spans="2:12" ht="12" x14ac:dyDescent="0.15">
      <c r="B1446" s="121">
        <v>13</v>
      </c>
      <c r="C1446" s="167" t="s">
        <v>70</v>
      </c>
      <c r="D1446" s="168" t="s">
        <v>1251</v>
      </c>
      <c r="E1446" s="168" t="s">
        <v>770</v>
      </c>
      <c r="F1446" s="169" t="s">
        <v>770</v>
      </c>
      <c r="G1446" s="122" t="s">
        <v>770</v>
      </c>
      <c r="H1446" s="170">
        <v>851389.29900000012</v>
      </c>
      <c r="I1446" s="168" t="s">
        <v>1200</v>
      </c>
      <c r="J1446" s="168" t="s">
        <v>770</v>
      </c>
      <c r="L1446" s="76"/>
    </row>
    <row r="1447" spans="2:12" ht="12" x14ac:dyDescent="0.15">
      <c r="B1447" s="121">
        <v>13</v>
      </c>
      <c r="C1447" s="167" t="s">
        <v>70</v>
      </c>
      <c r="D1447" s="168" t="s">
        <v>1508</v>
      </c>
      <c r="E1447" s="168" t="s">
        <v>770</v>
      </c>
      <c r="F1447" s="169" t="s">
        <v>770</v>
      </c>
      <c r="G1447" s="122" t="s">
        <v>770</v>
      </c>
      <c r="H1447" s="170">
        <v>3654059.8830000004</v>
      </c>
      <c r="I1447" s="168" t="s">
        <v>1200</v>
      </c>
      <c r="J1447" s="168" t="s">
        <v>770</v>
      </c>
      <c r="L1447" s="76"/>
    </row>
    <row r="1448" spans="2:12" ht="12" x14ac:dyDescent="0.15">
      <c r="B1448" s="121">
        <v>13</v>
      </c>
      <c r="C1448" s="167" t="s">
        <v>70</v>
      </c>
      <c r="D1448" s="168" t="s">
        <v>770</v>
      </c>
      <c r="E1448" s="168" t="s">
        <v>770</v>
      </c>
      <c r="F1448" s="169" t="s">
        <v>770</v>
      </c>
      <c r="G1448" s="122" t="s">
        <v>770</v>
      </c>
      <c r="H1448" s="170">
        <v>120731.61199999999</v>
      </c>
      <c r="I1448" s="168" t="s">
        <v>1200</v>
      </c>
      <c r="J1448" s="168" t="s">
        <v>770</v>
      </c>
      <c r="L1448" s="76"/>
    </row>
    <row r="1449" spans="2:12" ht="12" x14ac:dyDescent="0.15">
      <c r="B1449" s="121">
        <v>13</v>
      </c>
      <c r="C1449" s="167" t="s">
        <v>70</v>
      </c>
      <c r="D1449" s="168" t="s">
        <v>770</v>
      </c>
      <c r="E1449" s="168" t="s">
        <v>770</v>
      </c>
      <c r="F1449" s="169" t="s">
        <v>770</v>
      </c>
      <c r="G1449" s="122" t="s">
        <v>770</v>
      </c>
      <c r="H1449" s="170">
        <v>209930.28700000001</v>
      </c>
      <c r="I1449" s="168" t="s">
        <v>1200</v>
      </c>
      <c r="J1449" s="168" t="s">
        <v>770</v>
      </c>
      <c r="L1449" s="76"/>
    </row>
    <row r="1450" spans="2:12" ht="12" x14ac:dyDescent="0.15">
      <c r="B1450" s="121">
        <v>13</v>
      </c>
      <c r="C1450" s="167" t="s">
        <v>70</v>
      </c>
      <c r="D1450" s="168" t="s">
        <v>770</v>
      </c>
      <c r="E1450" s="168" t="s">
        <v>770</v>
      </c>
      <c r="F1450" s="169" t="s">
        <v>770</v>
      </c>
      <c r="G1450" s="122" t="s">
        <v>770</v>
      </c>
      <c r="H1450" s="170">
        <v>2142986.1129999999</v>
      </c>
      <c r="I1450" s="168" t="s">
        <v>1200</v>
      </c>
      <c r="J1450" s="168" t="s">
        <v>770</v>
      </c>
      <c r="L1450" s="76"/>
    </row>
    <row r="1451" spans="2:12" ht="12" x14ac:dyDescent="0.15">
      <c r="B1451" s="121">
        <v>13</v>
      </c>
      <c r="C1451" s="167" t="s">
        <v>70</v>
      </c>
      <c r="D1451" s="168" t="s">
        <v>770</v>
      </c>
      <c r="E1451" s="168" t="s">
        <v>770</v>
      </c>
      <c r="F1451" s="169" t="s">
        <v>770</v>
      </c>
      <c r="G1451" s="122" t="s">
        <v>770</v>
      </c>
      <c r="H1451" s="170">
        <v>651969.99100000004</v>
      </c>
      <c r="I1451" s="168" t="s">
        <v>1200</v>
      </c>
      <c r="J1451" s="168" t="s">
        <v>770</v>
      </c>
      <c r="L1451" s="76"/>
    </row>
    <row r="1452" spans="2:12" ht="12" x14ac:dyDescent="0.15">
      <c r="B1452" s="121">
        <v>13</v>
      </c>
      <c r="C1452" s="167" t="s">
        <v>70</v>
      </c>
      <c r="D1452" s="168" t="s">
        <v>1506</v>
      </c>
      <c r="E1452" s="168" t="s">
        <v>770</v>
      </c>
      <c r="F1452" s="169" t="s">
        <v>770</v>
      </c>
      <c r="G1452" s="122" t="s">
        <v>770</v>
      </c>
      <c r="H1452" s="170">
        <v>2833239.2110000001</v>
      </c>
      <c r="I1452" s="168" t="s">
        <v>1200</v>
      </c>
      <c r="J1452" s="168" t="s">
        <v>770</v>
      </c>
      <c r="L1452" s="76"/>
    </row>
    <row r="1453" spans="2:12" ht="12" x14ac:dyDescent="0.15">
      <c r="B1453" s="121">
        <v>13</v>
      </c>
      <c r="C1453" s="167" t="s">
        <v>70</v>
      </c>
      <c r="D1453" s="168" t="s">
        <v>1506</v>
      </c>
      <c r="E1453" s="168" t="s">
        <v>770</v>
      </c>
      <c r="F1453" s="169" t="s">
        <v>770</v>
      </c>
      <c r="G1453" s="122" t="s">
        <v>770</v>
      </c>
      <c r="H1453" s="170">
        <v>383313.22500000003</v>
      </c>
      <c r="I1453" s="168" t="s">
        <v>1200</v>
      </c>
      <c r="J1453" s="168" t="s">
        <v>770</v>
      </c>
      <c r="L1453" s="76"/>
    </row>
    <row r="1454" spans="2:12" ht="12" x14ac:dyDescent="0.15">
      <c r="B1454" s="121">
        <v>13</v>
      </c>
      <c r="C1454" s="167" t="s">
        <v>70</v>
      </c>
      <c r="D1454" s="168" t="s">
        <v>1506</v>
      </c>
      <c r="E1454" s="168" t="s">
        <v>770</v>
      </c>
      <c r="F1454" s="169" t="s">
        <v>770</v>
      </c>
      <c r="G1454" s="122" t="s">
        <v>770</v>
      </c>
      <c r="H1454" s="170">
        <v>2864772.148</v>
      </c>
      <c r="I1454" s="168" t="s">
        <v>1200</v>
      </c>
      <c r="J1454" s="168" t="s">
        <v>770</v>
      </c>
      <c r="L1454" s="76"/>
    </row>
    <row r="1455" spans="2:12" ht="12" x14ac:dyDescent="0.15">
      <c r="B1455" s="121">
        <v>13</v>
      </c>
      <c r="C1455" s="167" t="s">
        <v>70</v>
      </c>
      <c r="D1455" s="168" t="s">
        <v>770</v>
      </c>
      <c r="E1455" s="168" t="s">
        <v>770</v>
      </c>
      <c r="F1455" s="169" t="s">
        <v>770</v>
      </c>
      <c r="G1455" s="122" t="s">
        <v>770</v>
      </c>
      <c r="H1455" s="170">
        <v>327190.38300000003</v>
      </c>
      <c r="I1455" s="168" t="s">
        <v>1200</v>
      </c>
      <c r="J1455" s="168" t="s">
        <v>770</v>
      </c>
      <c r="L1455" s="76"/>
    </row>
    <row r="1456" spans="2:12" ht="12" x14ac:dyDescent="0.15">
      <c r="B1456" s="121">
        <v>13</v>
      </c>
      <c r="C1456" s="167" t="s">
        <v>70</v>
      </c>
      <c r="D1456" s="168" t="s">
        <v>770</v>
      </c>
      <c r="E1456" s="168" t="s">
        <v>770</v>
      </c>
      <c r="F1456" s="169" t="s">
        <v>770</v>
      </c>
      <c r="G1456" s="122" t="s">
        <v>770</v>
      </c>
      <c r="H1456" s="170">
        <v>44647.553</v>
      </c>
      <c r="I1456" s="168" t="s">
        <v>1200</v>
      </c>
      <c r="J1456" s="168" t="s">
        <v>770</v>
      </c>
      <c r="L1456" s="76"/>
    </row>
    <row r="1457" spans="2:12" ht="12" x14ac:dyDescent="0.15">
      <c r="B1457" s="121">
        <v>13</v>
      </c>
      <c r="C1457" s="167" t="s">
        <v>70</v>
      </c>
      <c r="D1457" s="168" t="s">
        <v>1251</v>
      </c>
      <c r="E1457" s="168" t="s">
        <v>770</v>
      </c>
      <c r="F1457" s="169" t="s">
        <v>770</v>
      </c>
      <c r="G1457" s="122" t="s">
        <v>770</v>
      </c>
      <c r="H1457" s="170">
        <v>124395.99</v>
      </c>
      <c r="I1457" s="168" t="s">
        <v>1200</v>
      </c>
      <c r="J1457" s="168" t="s">
        <v>770</v>
      </c>
      <c r="L1457" s="76"/>
    </row>
    <row r="1458" spans="2:12" ht="12" x14ac:dyDescent="0.15">
      <c r="B1458" s="121">
        <v>13</v>
      </c>
      <c r="C1458" s="167" t="s">
        <v>70</v>
      </c>
      <c r="D1458" s="168" t="s">
        <v>1251</v>
      </c>
      <c r="E1458" s="168" t="s">
        <v>770</v>
      </c>
      <c r="F1458" s="169" t="s">
        <v>770</v>
      </c>
      <c r="G1458" s="122" t="s">
        <v>770</v>
      </c>
      <c r="H1458" s="170">
        <v>4822707.1720000003</v>
      </c>
      <c r="I1458" s="168" t="s">
        <v>1200</v>
      </c>
      <c r="J1458" s="168" t="s">
        <v>770</v>
      </c>
      <c r="L1458" s="76"/>
    </row>
    <row r="1459" spans="2:12" ht="12" x14ac:dyDescent="0.15">
      <c r="B1459" s="121">
        <v>13</v>
      </c>
      <c r="C1459" s="167" t="s">
        <v>70</v>
      </c>
      <c r="D1459" s="168" t="s">
        <v>1251</v>
      </c>
      <c r="E1459" s="168" t="s">
        <v>770</v>
      </c>
      <c r="F1459" s="169" t="s">
        <v>770</v>
      </c>
      <c r="G1459" s="122" t="s">
        <v>770</v>
      </c>
      <c r="H1459" s="170">
        <v>929980.56400000001</v>
      </c>
      <c r="I1459" s="168" t="s">
        <v>1200</v>
      </c>
      <c r="J1459" s="168" t="s">
        <v>770</v>
      </c>
      <c r="L1459" s="76"/>
    </row>
    <row r="1460" spans="2:12" ht="12" x14ac:dyDescent="0.15">
      <c r="B1460" s="121">
        <v>13</v>
      </c>
      <c r="C1460" s="167" t="s">
        <v>70</v>
      </c>
      <c r="D1460" s="168" t="s">
        <v>770</v>
      </c>
      <c r="E1460" s="168" t="s">
        <v>770</v>
      </c>
      <c r="F1460" s="169" t="s">
        <v>770</v>
      </c>
      <c r="G1460" s="122" t="s">
        <v>770</v>
      </c>
      <c r="H1460" s="170">
        <v>297103.91100000002</v>
      </c>
      <c r="I1460" s="168" t="s">
        <v>1200</v>
      </c>
      <c r="J1460" s="168" t="s">
        <v>770</v>
      </c>
      <c r="L1460" s="76"/>
    </row>
    <row r="1461" spans="2:12" ht="12" x14ac:dyDescent="0.15">
      <c r="B1461" s="121">
        <v>13</v>
      </c>
      <c r="C1461" s="167" t="s">
        <v>70</v>
      </c>
      <c r="D1461" s="168" t="s">
        <v>770</v>
      </c>
      <c r="E1461" s="168" t="s">
        <v>770</v>
      </c>
      <c r="F1461" s="169" t="s">
        <v>770</v>
      </c>
      <c r="G1461" s="122" t="s">
        <v>770</v>
      </c>
      <c r="H1461" s="170">
        <v>1489955.3810000001</v>
      </c>
      <c r="I1461" s="168" t="s">
        <v>1200</v>
      </c>
      <c r="J1461" s="168" t="s">
        <v>770</v>
      </c>
      <c r="L1461" s="76"/>
    </row>
    <row r="1462" spans="2:12" ht="12" x14ac:dyDescent="0.15">
      <c r="B1462" s="121">
        <v>13</v>
      </c>
      <c r="C1462" s="167" t="s">
        <v>70</v>
      </c>
      <c r="D1462" s="168" t="s">
        <v>770</v>
      </c>
      <c r="E1462" s="168" t="s">
        <v>770</v>
      </c>
      <c r="F1462" s="169" t="s">
        <v>770</v>
      </c>
      <c r="G1462" s="122" t="s">
        <v>770</v>
      </c>
      <c r="H1462" s="170">
        <v>3441043.804</v>
      </c>
      <c r="I1462" s="168" t="s">
        <v>1200</v>
      </c>
      <c r="J1462" s="168" t="s">
        <v>770</v>
      </c>
      <c r="L1462" s="76"/>
    </row>
    <row r="1463" spans="2:12" ht="12" x14ac:dyDescent="0.15">
      <c r="B1463" s="121">
        <v>13</v>
      </c>
      <c r="C1463" s="167" t="s">
        <v>70</v>
      </c>
      <c r="D1463" s="168" t="s">
        <v>770</v>
      </c>
      <c r="E1463" s="168" t="s">
        <v>770</v>
      </c>
      <c r="F1463" s="169" t="s">
        <v>770</v>
      </c>
      <c r="G1463" s="122" t="s">
        <v>770</v>
      </c>
      <c r="H1463" s="170">
        <v>1133353.5430000001</v>
      </c>
      <c r="I1463" s="168" t="s">
        <v>1200</v>
      </c>
      <c r="J1463" s="168" t="s">
        <v>770</v>
      </c>
      <c r="L1463" s="76"/>
    </row>
    <row r="1464" spans="2:12" ht="12" x14ac:dyDescent="0.15">
      <c r="B1464" s="121">
        <v>13</v>
      </c>
      <c r="C1464" s="167" t="s">
        <v>70</v>
      </c>
      <c r="D1464" s="168" t="s">
        <v>770</v>
      </c>
      <c r="E1464" s="168" t="s">
        <v>770</v>
      </c>
      <c r="F1464" s="169" t="s">
        <v>770</v>
      </c>
      <c r="G1464" s="122" t="s">
        <v>770</v>
      </c>
      <c r="H1464" s="170">
        <v>2790230.9850000003</v>
      </c>
      <c r="I1464" s="168" t="s">
        <v>1200</v>
      </c>
      <c r="J1464" s="168" t="s">
        <v>770</v>
      </c>
      <c r="L1464" s="76"/>
    </row>
    <row r="1465" spans="2:12" ht="12" x14ac:dyDescent="0.15">
      <c r="B1465" s="121">
        <v>13</v>
      </c>
      <c r="C1465" s="167" t="s">
        <v>70</v>
      </c>
      <c r="D1465" s="168" t="s">
        <v>770</v>
      </c>
      <c r="E1465" s="168" t="s">
        <v>770</v>
      </c>
      <c r="F1465" s="169" t="s">
        <v>770</v>
      </c>
      <c r="G1465" s="122" t="s">
        <v>770</v>
      </c>
      <c r="H1465" s="170">
        <v>882825.80500000005</v>
      </c>
      <c r="I1465" s="168" t="s">
        <v>1200</v>
      </c>
      <c r="J1465" s="168" t="s">
        <v>770</v>
      </c>
      <c r="L1465" s="76"/>
    </row>
    <row r="1466" spans="2:12" ht="12" x14ac:dyDescent="0.15">
      <c r="B1466" s="121">
        <v>13</v>
      </c>
      <c r="C1466" s="167" t="s">
        <v>70</v>
      </c>
      <c r="D1466" s="168" t="s">
        <v>770</v>
      </c>
      <c r="E1466" s="168" t="s">
        <v>770</v>
      </c>
      <c r="F1466" s="169" t="s">
        <v>770</v>
      </c>
      <c r="G1466" s="122" t="s">
        <v>770</v>
      </c>
      <c r="H1466" s="170">
        <v>2083006.031</v>
      </c>
      <c r="I1466" s="168" t="s">
        <v>1200</v>
      </c>
      <c r="J1466" s="168" t="s">
        <v>770</v>
      </c>
      <c r="L1466" s="76"/>
    </row>
    <row r="1467" spans="2:12" ht="12" x14ac:dyDescent="0.15">
      <c r="B1467" s="121">
        <v>13</v>
      </c>
      <c r="C1467" s="167" t="s">
        <v>70</v>
      </c>
      <c r="D1467" s="168" t="s">
        <v>1251</v>
      </c>
      <c r="E1467" s="168" t="s">
        <v>770</v>
      </c>
      <c r="F1467" s="169" t="s">
        <v>770</v>
      </c>
      <c r="G1467" s="122" t="s">
        <v>770</v>
      </c>
      <c r="H1467" s="170">
        <v>123913.83500000001</v>
      </c>
      <c r="I1467" s="168" t="s">
        <v>1200</v>
      </c>
      <c r="J1467" s="168" t="s">
        <v>770</v>
      </c>
      <c r="L1467" s="76"/>
    </row>
    <row r="1468" spans="2:12" ht="12" x14ac:dyDescent="0.15">
      <c r="B1468" s="121">
        <v>13</v>
      </c>
      <c r="C1468" s="167" t="s">
        <v>70</v>
      </c>
      <c r="D1468" s="168" t="s">
        <v>1251</v>
      </c>
      <c r="E1468" s="168" t="s">
        <v>770</v>
      </c>
      <c r="F1468" s="169" t="s">
        <v>770</v>
      </c>
      <c r="G1468" s="122" t="s">
        <v>770</v>
      </c>
      <c r="H1468" s="170">
        <v>123913.83500000001</v>
      </c>
      <c r="I1468" s="168" t="s">
        <v>1200</v>
      </c>
      <c r="J1468" s="168" t="s">
        <v>770</v>
      </c>
      <c r="L1468" s="76"/>
    </row>
    <row r="1469" spans="2:12" ht="12" x14ac:dyDescent="0.15">
      <c r="B1469" s="121">
        <v>13</v>
      </c>
      <c r="C1469" s="167" t="s">
        <v>70</v>
      </c>
      <c r="D1469" s="168" t="s">
        <v>1251</v>
      </c>
      <c r="E1469" s="168" t="s">
        <v>770</v>
      </c>
      <c r="F1469" s="169" t="s">
        <v>770</v>
      </c>
      <c r="G1469" s="122" t="s">
        <v>770</v>
      </c>
      <c r="H1469" s="170">
        <v>123913.83500000001</v>
      </c>
      <c r="I1469" s="168" t="s">
        <v>1200</v>
      </c>
      <c r="J1469" s="168" t="s">
        <v>770</v>
      </c>
      <c r="L1469" s="76"/>
    </row>
    <row r="1470" spans="2:12" ht="12" x14ac:dyDescent="0.15">
      <c r="B1470" s="121">
        <v>13</v>
      </c>
      <c r="C1470" s="167" t="s">
        <v>70</v>
      </c>
      <c r="D1470" s="168" t="s">
        <v>1251</v>
      </c>
      <c r="E1470" s="168" t="s">
        <v>770</v>
      </c>
      <c r="F1470" s="169" t="s">
        <v>770</v>
      </c>
      <c r="G1470" s="122" t="s">
        <v>770</v>
      </c>
      <c r="H1470" s="170">
        <v>29411.454999999998</v>
      </c>
      <c r="I1470" s="168" t="s">
        <v>1200</v>
      </c>
      <c r="J1470" s="168" t="s">
        <v>770</v>
      </c>
      <c r="L1470" s="76"/>
    </row>
    <row r="1471" spans="2:12" ht="12" x14ac:dyDescent="0.15">
      <c r="B1471" s="121">
        <v>13</v>
      </c>
      <c r="C1471" s="167" t="s">
        <v>70</v>
      </c>
      <c r="D1471" s="168" t="s">
        <v>1251</v>
      </c>
      <c r="E1471" s="168" t="s">
        <v>770</v>
      </c>
      <c r="F1471" s="169" t="s">
        <v>770</v>
      </c>
      <c r="G1471" s="122" t="s">
        <v>770</v>
      </c>
      <c r="H1471" s="170">
        <v>359591.19900000002</v>
      </c>
      <c r="I1471" s="168" t="s">
        <v>1200</v>
      </c>
      <c r="J1471" s="168" t="s">
        <v>770</v>
      </c>
      <c r="L1471" s="76"/>
    </row>
    <row r="1472" spans="2:12" ht="12" x14ac:dyDescent="0.15">
      <c r="B1472" s="121">
        <v>13</v>
      </c>
      <c r="C1472" s="167" t="s">
        <v>70</v>
      </c>
      <c r="D1472" s="168" t="s">
        <v>1251</v>
      </c>
      <c r="E1472" s="168" t="s">
        <v>770</v>
      </c>
      <c r="F1472" s="169" t="s">
        <v>770</v>
      </c>
      <c r="G1472" s="122" t="s">
        <v>770</v>
      </c>
      <c r="H1472" s="170">
        <v>736443.54700000002</v>
      </c>
      <c r="I1472" s="168" t="s">
        <v>1200</v>
      </c>
      <c r="J1472" s="168" t="s">
        <v>770</v>
      </c>
      <c r="L1472" s="76"/>
    </row>
    <row r="1473" spans="2:12" ht="12" x14ac:dyDescent="0.15">
      <c r="B1473" s="121">
        <v>13</v>
      </c>
      <c r="C1473" s="167" t="s">
        <v>70</v>
      </c>
      <c r="D1473" s="168" t="s">
        <v>1251</v>
      </c>
      <c r="E1473" s="168" t="s">
        <v>770</v>
      </c>
      <c r="F1473" s="169" t="s">
        <v>770</v>
      </c>
      <c r="G1473" s="122" t="s">
        <v>770</v>
      </c>
      <c r="H1473" s="170">
        <v>160075.46000000002</v>
      </c>
      <c r="I1473" s="168" t="s">
        <v>1200</v>
      </c>
      <c r="J1473" s="168" t="s">
        <v>770</v>
      </c>
      <c r="L1473" s="76"/>
    </row>
    <row r="1474" spans="2:12" ht="12" x14ac:dyDescent="0.15">
      <c r="B1474" s="121">
        <v>13</v>
      </c>
      <c r="C1474" s="167" t="s">
        <v>70</v>
      </c>
      <c r="D1474" s="168" t="s">
        <v>1251</v>
      </c>
      <c r="E1474" s="168" t="s">
        <v>770</v>
      </c>
      <c r="F1474" s="169" t="s">
        <v>770</v>
      </c>
      <c r="G1474" s="122" t="s">
        <v>770</v>
      </c>
      <c r="H1474" s="170">
        <v>45033.277000000002</v>
      </c>
      <c r="I1474" s="168" t="s">
        <v>1200</v>
      </c>
      <c r="J1474" s="168" t="s">
        <v>770</v>
      </c>
      <c r="L1474" s="76"/>
    </row>
    <row r="1475" spans="2:12" ht="12" x14ac:dyDescent="0.15">
      <c r="B1475" s="121">
        <v>13</v>
      </c>
      <c r="C1475" s="167" t="s">
        <v>70</v>
      </c>
      <c r="D1475" s="168" t="s">
        <v>1251</v>
      </c>
      <c r="E1475" s="168" t="s">
        <v>770</v>
      </c>
      <c r="F1475" s="169" t="s">
        <v>770</v>
      </c>
      <c r="G1475" s="122" t="s">
        <v>770</v>
      </c>
      <c r="H1475" s="170">
        <v>92284.467000000004</v>
      </c>
      <c r="I1475" s="168" t="s">
        <v>1200</v>
      </c>
      <c r="J1475" s="168" t="s">
        <v>770</v>
      </c>
      <c r="L1475" s="76"/>
    </row>
    <row r="1476" spans="2:12" ht="12" x14ac:dyDescent="0.15">
      <c r="B1476" s="121">
        <v>13</v>
      </c>
      <c r="C1476" s="167" t="s">
        <v>70</v>
      </c>
      <c r="D1476" s="168" t="s">
        <v>1251</v>
      </c>
      <c r="E1476" s="168" t="s">
        <v>770</v>
      </c>
      <c r="F1476" s="169" t="s">
        <v>770</v>
      </c>
      <c r="G1476" s="122" t="s">
        <v>770</v>
      </c>
      <c r="H1476" s="170">
        <v>44647.553</v>
      </c>
      <c r="I1476" s="168" t="s">
        <v>1200</v>
      </c>
      <c r="J1476" s="168" t="s">
        <v>770</v>
      </c>
      <c r="L1476" s="76"/>
    </row>
    <row r="1477" spans="2:12" ht="12" x14ac:dyDescent="0.15">
      <c r="B1477" s="121">
        <v>13</v>
      </c>
      <c r="C1477" s="167" t="s">
        <v>70</v>
      </c>
      <c r="D1477" s="168" t="s">
        <v>1251</v>
      </c>
      <c r="E1477" s="168" t="s">
        <v>770</v>
      </c>
      <c r="F1477" s="169" t="s">
        <v>770</v>
      </c>
      <c r="G1477" s="122" t="s">
        <v>770</v>
      </c>
      <c r="H1477" s="170">
        <v>45708.294000000002</v>
      </c>
      <c r="I1477" s="168" t="s">
        <v>1200</v>
      </c>
      <c r="J1477" s="168" t="s">
        <v>770</v>
      </c>
      <c r="L1477" s="76"/>
    </row>
    <row r="1478" spans="2:12" ht="12" x14ac:dyDescent="0.15">
      <c r="B1478" s="121">
        <v>13</v>
      </c>
      <c r="C1478" s="167" t="s">
        <v>70</v>
      </c>
      <c r="D1478" s="168" t="s">
        <v>1251</v>
      </c>
      <c r="E1478" s="168" t="s">
        <v>770</v>
      </c>
      <c r="F1478" s="169" t="s">
        <v>770</v>
      </c>
      <c r="G1478" s="122" t="s">
        <v>770</v>
      </c>
      <c r="H1478" s="170">
        <v>80905.609000000011</v>
      </c>
      <c r="I1478" s="168" t="s">
        <v>1200</v>
      </c>
      <c r="J1478" s="168" t="s">
        <v>770</v>
      </c>
      <c r="L1478" s="76"/>
    </row>
    <row r="1479" spans="2:12" ht="12" x14ac:dyDescent="0.15">
      <c r="B1479" s="121">
        <v>13</v>
      </c>
      <c r="C1479" s="167" t="s">
        <v>70</v>
      </c>
      <c r="D1479" s="168" t="s">
        <v>1251</v>
      </c>
      <c r="E1479" s="168" t="s">
        <v>770</v>
      </c>
      <c r="F1479" s="169" t="s">
        <v>770</v>
      </c>
      <c r="G1479" s="122" t="s">
        <v>770</v>
      </c>
      <c r="H1479" s="170">
        <v>153518.152</v>
      </c>
      <c r="I1479" s="168" t="s">
        <v>1200</v>
      </c>
      <c r="J1479" s="168" t="s">
        <v>770</v>
      </c>
      <c r="L1479" s="76"/>
    </row>
    <row r="1480" spans="2:12" ht="12" x14ac:dyDescent="0.15">
      <c r="B1480" s="121">
        <v>13</v>
      </c>
      <c r="C1480" s="167" t="s">
        <v>70</v>
      </c>
      <c r="D1480" s="168" t="s">
        <v>1251</v>
      </c>
      <c r="E1480" s="168" t="s">
        <v>770</v>
      </c>
      <c r="F1480" s="169" t="s">
        <v>770</v>
      </c>
      <c r="G1480" s="122" t="s">
        <v>770</v>
      </c>
      <c r="H1480" s="170">
        <v>85437.865999999995</v>
      </c>
      <c r="I1480" s="168" t="s">
        <v>1200</v>
      </c>
      <c r="J1480" s="168" t="s">
        <v>770</v>
      </c>
      <c r="L1480" s="76"/>
    </row>
    <row r="1481" spans="2:12" ht="12" x14ac:dyDescent="0.15">
      <c r="B1481" s="121">
        <v>13</v>
      </c>
      <c r="C1481" s="167" t="s">
        <v>70</v>
      </c>
      <c r="D1481" s="168" t="s">
        <v>1251</v>
      </c>
      <c r="E1481" s="168" t="s">
        <v>770</v>
      </c>
      <c r="F1481" s="169" t="s">
        <v>770</v>
      </c>
      <c r="G1481" s="122" t="s">
        <v>770</v>
      </c>
      <c r="H1481" s="170">
        <v>84377.125</v>
      </c>
      <c r="I1481" s="168" t="s">
        <v>1200</v>
      </c>
      <c r="J1481" s="168" t="s">
        <v>770</v>
      </c>
      <c r="L1481" s="76"/>
    </row>
    <row r="1482" spans="2:12" ht="12" x14ac:dyDescent="0.15">
      <c r="B1482" s="121">
        <v>13</v>
      </c>
      <c r="C1482" s="167" t="s">
        <v>70</v>
      </c>
      <c r="D1482" s="168" t="s">
        <v>1251</v>
      </c>
      <c r="E1482" s="168" t="s">
        <v>770</v>
      </c>
      <c r="F1482" s="169" t="s">
        <v>770</v>
      </c>
      <c r="G1482" s="122" t="s">
        <v>770</v>
      </c>
      <c r="H1482" s="170">
        <v>86112.883000000002</v>
      </c>
      <c r="I1482" s="168" t="s">
        <v>1200</v>
      </c>
      <c r="J1482" s="168" t="s">
        <v>770</v>
      </c>
      <c r="L1482" s="76"/>
    </row>
    <row r="1483" spans="2:12" ht="12" x14ac:dyDescent="0.15">
      <c r="B1483" s="121">
        <v>13</v>
      </c>
      <c r="C1483" s="167" t="s">
        <v>70</v>
      </c>
      <c r="D1483" s="168" t="s">
        <v>1251</v>
      </c>
      <c r="E1483" s="168" t="s">
        <v>770</v>
      </c>
      <c r="F1483" s="169" t="s">
        <v>770</v>
      </c>
      <c r="G1483" s="122" t="s">
        <v>770</v>
      </c>
      <c r="H1483" s="170">
        <v>40790.313000000009</v>
      </c>
      <c r="I1483" s="168" t="s">
        <v>1200</v>
      </c>
      <c r="J1483" s="168" t="s">
        <v>770</v>
      </c>
      <c r="L1483" s="76"/>
    </row>
    <row r="1484" spans="2:12" ht="12" x14ac:dyDescent="0.15">
      <c r="B1484" s="121">
        <v>13</v>
      </c>
      <c r="C1484" s="167" t="s">
        <v>70</v>
      </c>
      <c r="D1484" s="168" t="s">
        <v>1251</v>
      </c>
      <c r="E1484" s="168" t="s">
        <v>770</v>
      </c>
      <c r="F1484" s="169" t="s">
        <v>770</v>
      </c>
      <c r="G1484" s="122" t="s">
        <v>770</v>
      </c>
      <c r="H1484" s="170">
        <v>50722.705999999998</v>
      </c>
      <c r="I1484" s="168" t="s">
        <v>1200</v>
      </c>
      <c r="J1484" s="168" t="s">
        <v>770</v>
      </c>
      <c r="L1484" s="76"/>
    </row>
    <row r="1485" spans="2:12" ht="12" x14ac:dyDescent="0.15">
      <c r="B1485" s="121">
        <v>13</v>
      </c>
      <c r="C1485" s="167" t="s">
        <v>70</v>
      </c>
      <c r="D1485" s="168" t="s">
        <v>1251</v>
      </c>
      <c r="E1485" s="168" t="s">
        <v>770</v>
      </c>
      <c r="F1485" s="169" t="s">
        <v>770</v>
      </c>
      <c r="G1485" s="122" t="s">
        <v>770</v>
      </c>
      <c r="H1485" s="170">
        <v>62680.15</v>
      </c>
      <c r="I1485" s="168" t="s">
        <v>1200</v>
      </c>
      <c r="J1485" s="168" t="s">
        <v>770</v>
      </c>
      <c r="L1485" s="76"/>
    </row>
    <row r="1486" spans="2:12" ht="12" x14ac:dyDescent="0.15">
      <c r="B1486" s="121">
        <v>13</v>
      </c>
      <c r="C1486" s="167" t="s">
        <v>70</v>
      </c>
      <c r="D1486" s="168" t="s">
        <v>1251</v>
      </c>
      <c r="E1486" s="168" t="s">
        <v>770</v>
      </c>
      <c r="F1486" s="169" t="s">
        <v>770</v>
      </c>
      <c r="G1486" s="122" t="s">
        <v>770</v>
      </c>
      <c r="H1486" s="170">
        <v>152071.68700000001</v>
      </c>
      <c r="I1486" s="168" t="s">
        <v>1200</v>
      </c>
      <c r="J1486" s="168" t="s">
        <v>770</v>
      </c>
      <c r="L1486" s="76"/>
    </row>
    <row r="1487" spans="2:12" ht="12" x14ac:dyDescent="0.15">
      <c r="B1487" s="121">
        <v>13</v>
      </c>
      <c r="C1487" s="167" t="s">
        <v>70</v>
      </c>
      <c r="D1487" s="168" t="s">
        <v>1251</v>
      </c>
      <c r="E1487" s="168" t="s">
        <v>770</v>
      </c>
      <c r="F1487" s="169" t="s">
        <v>770</v>
      </c>
      <c r="G1487" s="122" t="s">
        <v>770</v>
      </c>
      <c r="H1487" s="170">
        <v>465568.86800000002</v>
      </c>
      <c r="I1487" s="168" t="s">
        <v>1200</v>
      </c>
      <c r="J1487" s="168" t="s">
        <v>770</v>
      </c>
      <c r="L1487" s="76"/>
    </row>
    <row r="1488" spans="2:12" ht="12" x14ac:dyDescent="0.15">
      <c r="B1488" s="121">
        <v>13</v>
      </c>
      <c r="C1488" s="167" t="s">
        <v>70</v>
      </c>
      <c r="D1488" s="168" t="s">
        <v>1251</v>
      </c>
      <c r="E1488" s="168" t="s">
        <v>770</v>
      </c>
      <c r="F1488" s="169" t="s">
        <v>770</v>
      </c>
      <c r="G1488" s="122" t="s">
        <v>770</v>
      </c>
      <c r="H1488" s="170">
        <v>147442.99900000001</v>
      </c>
      <c r="I1488" s="168" t="s">
        <v>1200</v>
      </c>
      <c r="J1488" s="168" t="s">
        <v>770</v>
      </c>
      <c r="L1488" s="76"/>
    </row>
    <row r="1489" spans="2:12" ht="12" x14ac:dyDescent="0.15">
      <c r="B1489" s="121">
        <v>13</v>
      </c>
      <c r="C1489" s="167" t="s">
        <v>70</v>
      </c>
      <c r="D1489" s="168" t="s">
        <v>1251</v>
      </c>
      <c r="E1489" s="168" t="s">
        <v>770</v>
      </c>
      <c r="F1489" s="169" t="s">
        <v>770</v>
      </c>
      <c r="G1489" s="122" t="s">
        <v>770</v>
      </c>
      <c r="H1489" s="170">
        <v>122081.64600000001</v>
      </c>
      <c r="I1489" s="168" t="s">
        <v>1200</v>
      </c>
      <c r="J1489" s="168" t="s">
        <v>770</v>
      </c>
      <c r="L1489" s="76"/>
    </row>
    <row r="1490" spans="2:12" ht="12" x14ac:dyDescent="0.15">
      <c r="B1490" s="121">
        <v>13</v>
      </c>
      <c r="C1490" s="167" t="s">
        <v>70</v>
      </c>
      <c r="D1490" s="168" t="s">
        <v>1251</v>
      </c>
      <c r="E1490" s="168" t="s">
        <v>770</v>
      </c>
      <c r="F1490" s="169" t="s">
        <v>770</v>
      </c>
      <c r="G1490" s="122" t="s">
        <v>770</v>
      </c>
      <c r="H1490" s="170">
        <v>72323.25</v>
      </c>
      <c r="I1490" s="168" t="s">
        <v>1200</v>
      </c>
      <c r="J1490" s="168" t="s">
        <v>770</v>
      </c>
      <c r="L1490" s="76"/>
    </row>
    <row r="1491" spans="2:12" ht="12" x14ac:dyDescent="0.15">
      <c r="B1491" s="121">
        <v>13</v>
      </c>
      <c r="C1491" s="167" t="s">
        <v>70</v>
      </c>
      <c r="D1491" s="168" t="s">
        <v>1251</v>
      </c>
      <c r="E1491" s="168" t="s">
        <v>770</v>
      </c>
      <c r="F1491" s="169" t="s">
        <v>770</v>
      </c>
      <c r="G1491" s="122" t="s">
        <v>770</v>
      </c>
      <c r="H1491" s="170">
        <v>194694.18900000001</v>
      </c>
      <c r="I1491" s="168" t="s">
        <v>1200</v>
      </c>
      <c r="J1491" s="168" t="s">
        <v>770</v>
      </c>
      <c r="L1491" s="76"/>
    </row>
    <row r="1492" spans="2:12" ht="12" x14ac:dyDescent="0.15">
      <c r="B1492" s="121">
        <v>13</v>
      </c>
      <c r="C1492" s="167" t="s">
        <v>70</v>
      </c>
      <c r="D1492" s="168" t="s">
        <v>1251</v>
      </c>
      <c r="E1492" s="168" t="s">
        <v>770</v>
      </c>
      <c r="F1492" s="169" t="s">
        <v>770</v>
      </c>
      <c r="G1492" s="122" t="s">
        <v>770</v>
      </c>
      <c r="H1492" s="170">
        <v>465568.86800000002</v>
      </c>
      <c r="I1492" s="168" t="s">
        <v>1200</v>
      </c>
      <c r="J1492" s="168" t="s">
        <v>770</v>
      </c>
      <c r="L1492" s="76"/>
    </row>
    <row r="1493" spans="2:12" ht="12" x14ac:dyDescent="0.15">
      <c r="B1493" s="121">
        <v>13</v>
      </c>
      <c r="C1493" s="167" t="s">
        <v>70</v>
      </c>
      <c r="D1493" s="168" t="s">
        <v>1251</v>
      </c>
      <c r="E1493" s="168" t="s">
        <v>770</v>
      </c>
      <c r="F1493" s="169" t="s">
        <v>770</v>
      </c>
      <c r="G1493" s="122" t="s">
        <v>770</v>
      </c>
      <c r="H1493" s="170">
        <v>2026497.4650000001</v>
      </c>
      <c r="I1493" s="168" t="s">
        <v>1200</v>
      </c>
      <c r="J1493" s="168" t="s">
        <v>770</v>
      </c>
      <c r="L1493" s="76"/>
    </row>
    <row r="1494" spans="2:12" ht="12" x14ac:dyDescent="0.15">
      <c r="B1494" s="121">
        <v>13</v>
      </c>
      <c r="C1494" s="167" t="s">
        <v>70</v>
      </c>
      <c r="D1494" s="168" t="s">
        <v>1251</v>
      </c>
      <c r="E1494" s="168" t="s">
        <v>770</v>
      </c>
      <c r="F1494" s="169" t="s">
        <v>770</v>
      </c>
      <c r="G1494" s="122" t="s">
        <v>770</v>
      </c>
      <c r="H1494" s="170">
        <v>1130653.4750000001</v>
      </c>
      <c r="I1494" s="168" t="s">
        <v>1200</v>
      </c>
      <c r="J1494" s="168" t="s">
        <v>770</v>
      </c>
      <c r="L1494" s="76"/>
    </row>
    <row r="1495" spans="2:12" ht="12" x14ac:dyDescent="0.15">
      <c r="B1495" s="121">
        <v>13</v>
      </c>
      <c r="C1495" s="167" t="s">
        <v>70</v>
      </c>
      <c r="D1495" s="168" t="s">
        <v>1251</v>
      </c>
      <c r="E1495" s="168" t="s">
        <v>770</v>
      </c>
      <c r="F1495" s="169" t="s">
        <v>770</v>
      </c>
      <c r="G1495" s="122" t="s">
        <v>770</v>
      </c>
      <c r="H1495" s="170">
        <v>1480408.7120000001</v>
      </c>
      <c r="I1495" s="168" t="s">
        <v>1200</v>
      </c>
      <c r="J1495" s="168" t="s">
        <v>770</v>
      </c>
      <c r="L1495" s="76"/>
    </row>
    <row r="1496" spans="2:12" ht="12" x14ac:dyDescent="0.15">
      <c r="B1496" s="121">
        <v>13</v>
      </c>
      <c r="C1496" s="167" t="s">
        <v>70</v>
      </c>
      <c r="D1496" s="168" t="s">
        <v>1251</v>
      </c>
      <c r="E1496" s="168" t="s">
        <v>770</v>
      </c>
      <c r="F1496" s="169" t="s">
        <v>770</v>
      </c>
      <c r="G1496" s="122" t="s">
        <v>770</v>
      </c>
      <c r="H1496" s="170">
        <v>791216.35499999998</v>
      </c>
      <c r="I1496" s="168" t="s">
        <v>1200</v>
      </c>
      <c r="J1496" s="168" t="s">
        <v>770</v>
      </c>
      <c r="L1496" s="76"/>
    </row>
    <row r="1497" spans="2:12" ht="12" x14ac:dyDescent="0.15">
      <c r="B1497" s="121">
        <v>13</v>
      </c>
      <c r="C1497" s="167" t="s">
        <v>70</v>
      </c>
      <c r="D1497" s="168" t="s">
        <v>1251</v>
      </c>
      <c r="E1497" s="168" t="s">
        <v>770</v>
      </c>
      <c r="F1497" s="169" t="s">
        <v>770</v>
      </c>
      <c r="G1497" s="122" t="s">
        <v>770</v>
      </c>
      <c r="H1497" s="170">
        <v>33750.85</v>
      </c>
      <c r="I1497" s="168" t="s">
        <v>1200</v>
      </c>
      <c r="J1497" s="168" t="s">
        <v>770</v>
      </c>
      <c r="L1497" s="76"/>
    </row>
    <row r="1498" spans="2:12" ht="12" x14ac:dyDescent="0.15">
      <c r="B1498" s="121">
        <v>13</v>
      </c>
      <c r="C1498" s="167" t="s">
        <v>70</v>
      </c>
      <c r="D1498" s="168" t="s">
        <v>1251</v>
      </c>
      <c r="E1498" s="168" t="s">
        <v>770</v>
      </c>
      <c r="F1498" s="169" t="s">
        <v>770</v>
      </c>
      <c r="G1498" s="122" t="s">
        <v>770</v>
      </c>
      <c r="H1498" s="170">
        <v>105495.514</v>
      </c>
      <c r="I1498" s="168" t="s">
        <v>1200</v>
      </c>
      <c r="J1498" s="168" t="s">
        <v>770</v>
      </c>
      <c r="L1498" s="76"/>
    </row>
    <row r="1499" spans="2:12" ht="12" x14ac:dyDescent="0.15">
      <c r="B1499" s="121">
        <v>13</v>
      </c>
      <c r="C1499" s="167" t="s">
        <v>70</v>
      </c>
      <c r="D1499" s="168" t="s">
        <v>1251</v>
      </c>
      <c r="E1499" s="168" t="s">
        <v>770</v>
      </c>
      <c r="F1499" s="169" t="s">
        <v>770</v>
      </c>
      <c r="G1499" s="122" t="s">
        <v>770</v>
      </c>
      <c r="H1499" s="170">
        <v>67405.269</v>
      </c>
      <c r="I1499" s="168" t="s">
        <v>1200</v>
      </c>
      <c r="J1499" s="168" t="s">
        <v>770</v>
      </c>
      <c r="L1499" s="76"/>
    </row>
    <row r="1500" spans="2:12" ht="12" x14ac:dyDescent="0.15">
      <c r="B1500" s="121">
        <v>13</v>
      </c>
      <c r="C1500" s="167" t="s">
        <v>70</v>
      </c>
      <c r="D1500" s="168" t="s">
        <v>1251</v>
      </c>
      <c r="E1500" s="168" t="s">
        <v>770</v>
      </c>
      <c r="F1500" s="169" t="s">
        <v>770</v>
      </c>
      <c r="G1500" s="122" t="s">
        <v>770</v>
      </c>
      <c r="H1500" s="170">
        <v>132206.90100000001</v>
      </c>
      <c r="I1500" s="168" t="s">
        <v>1200</v>
      </c>
      <c r="J1500" s="168" t="s">
        <v>770</v>
      </c>
      <c r="L1500" s="76"/>
    </row>
    <row r="1501" spans="2:12" ht="12" x14ac:dyDescent="0.15">
      <c r="B1501" s="121">
        <v>13</v>
      </c>
      <c r="C1501" s="167" t="s">
        <v>70</v>
      </c>
      <c r="D1501" s="168" t="s">
        <v>1251</v>
      </c>
      <c r="E1501" s="168" t="s">
        <v>770</v>
      </c>
      <c r="F1501" s="169" t="s">
        <v>770</v>
      </c>
      <c r="G1501" s="122" t="s">
        <v>770</v>
      </c>
      <c r="H1501" s="170">
        <v>44647.553</v>
      </c>
      <c r="I1501" s="168" t="s">
        <v>1200</v>
      </c>
      <c r="J1501" s="168" t="s">
        <v>770</v>
      </c>
      <c r="L1501" s="76"/>
    </row>
    <row r="1502" spans="2:12" ht="12" x14ac:dyDescent="0.15">
      <c r="B1502" s="121">
        <v>13</v>
      </c>
      <c r="C1502" s="167" t="s">
        <v>70</v>
      </c>
      <c r="D1502" s="168" t="s">
        <v>1251</v>
      </c>
      <c r="E1502" s="168" t="s">
        <v>770</v>
      </c>
      <c r="F1502" s="169" t="s">
        <v>770</v>
      </c>
      <c r="G1502" s="122" t="s">
        <v>770</v>
      </c>
      <c r="H1502" s="170">
        <v>1788891.4809999999</v>
      </c>
      <c r="I1502" s="168" t="s">
        <v>1200</v>
      </c>
      <c r="J1502" s="168" t="s">
        <v>770</v>
      </c>
      <c r="L1502" s="76"/>
    </row>
    <row r="1503" spans="2:12" ht="12" x14ac:dyDescent="0.15">
      <c r="B1503" s="121">
        <v>13</v>
      </c>
      <c r="C1503" s="167" t="s">
        <v>70</v>
      </c>
      <c r="D1503" s="168" t="s">
        <v>1251</v>
      </c>
      <c r="E1503" s="168" t="s">
        <v>770</v>
      </c>
      <c r="F1503" s="169" t="s">
        <v>770</v>
      </c>
      <c r="G1503" s="122" t="s">
        <v>770</v>
      </c>
      <c r="H1503" s="170">
        <v>123624.542</v>
      </c>
      <c r="I1503" s="168" t="s">
        <v>1200</v>
      </c>
      <c r="J1503" s="168" t="s">
        <v>770</v>
      </c>
      <c r="L1503" s="76"/>
    </row>
    <row r="1504" spans="2:12" ht="12" x14ac:dyDescent="0.15">
      <c r="B1504" s="121">
        <v>13</v>
      </c>
      <c r="C1504" s="167" t="s">
        <v>70</v>
      </c>
      <c r="D1504" s="168" t="s">
        <v>1251</v>
      </c>
      <c r="E1504" s="168" t="s">
        <v>770</v>
      </c>
      <c r="F1504" s="169" t="s">
        <v>770</v>
      </c>
      <c r="G1504" s="122" t="s">
        <v>770</v>
      </c>
      <c r="H1504" s="170">
        <v>60847.960999999996</v>
      </c>
      <c r="I1504" s="168" t="s">
        <v>1200</v>
      </c>
      <c r="J1504" s="168" t="s">
        <v>770</v>
      </c>
      <c r="L1504" s="76"/>
    </row>
    <row r="1505" spans="2:12" ht="12" x14ac:dyDescent="0.15">
      <c r="B1505" s="121">
        <v>13</v>
      </c>
      <c r="C1505" s="167" t="s">
        <v>70</v>
      </c>
      <c r="D1505" s="168" t="s">
        <v>1251</v>
      </c>
      <c r="E1505" s="168" t="s">
        <v>770</v>
      </c>
      <c r="F1505" s="169" t="s">
        <v>770</v>
      </c>
      <c r="G1505" s="122" t="s">
        <v>770</v>
      </c>
      <c r="H1505" s="170">
        <v>179940.24600000001</v>
      </c>
      <c r="I1505" s="168" t="s">
        <v>1200</v>
      </c>
      <c r="J1505" s="168" t="s">
        <v>770</v>
      </c>
      <c r="L1505" s="76"/>
    </row>
    <row r="1506" spans="2:12" ht="12" x14ac:dyDescent="0.15">
      <c r="B1506" s="121">
        <v>13</v>
      </c>
      <c r="C1506" s="167" t="s">
        <v>70</v>
      </c>
      <c r="D1506" s="168" t="s">
        <v>1251</v>
      </c>
      <c r="E1506" s="168" t="s">
        <v>770</v>
      </c>
      <c r="F1506" s="169" t="s">
        <v>770</v>
      </c>
      <c r="G1506" s="122" t="s">
        <v>770</v>
      </c>
      <c r="H1506" s="170">
        <v>595075.701</v>
      </c>
      <c r="I1506" s="168" t="s">
        <v>1200</v>
      </c>
      <c r="J1506" s="168" t="s">
        <v>770</v>
      </c>
      <c r="L1506" s="76"/>
    </row>
    <row r="1507" spans="2:12" ht="12" x14ac:dyDescent="0.15">
      <c r="B1507" s="121">
        <v>13</v>
      </c>
      <c r="C1507" s="167" t="s">
        <v>70</v>
      </c>
      <c r="D1507" s="168" t="s">
        <v>1251</v>
      </c>
      <c r="E1507" s="168" t="s">
        <v>770</v>
      </c>
      <c r="F1507" s="169" t="s">
        <v>770</v>
      </c>
      <c r="G1507" s="122" t="s">
        <v>770</v>
      </c>
      <c r="H1507" s="170">
        <v>342330.05</v>
      </c>
      <c r="I1507" s="168" t="s">
        <v>1200</v>
      </c>
      <c r="J1507" s="168" t="s">
        <v>770</v>
      </c>
      <c r="L1507" s="76"/>
    </row>
    <row r="1508" spans="2:12" ht="12" x14ac:dyDescent="0.15">
      <c r="B1508" s="121">
        <v>13</v>
      </c>
      <c r="C1508" s="167" t="s">
        <v>70</v>
      </c>
      <c r="D1508" s="168" t="s">
        <v>1251</v>
      </c>
      <c r="E1508" s="168" t="s">
        <v>770</v>
      </c>
      <c r="F1508" s="169" t="s">
        <v>770</v>
      </c>
      <c r="G1508" s="122" t="s">
        <v>770</v>
      </c>
      <c r="H1508" s="170">
        <v>161232.63199999998</v>
      </c>
      <c r="I1508" s="168" t="s">
        <v>1200</v>
      </c>
      <c r="J1508" s="168" t="s">
        <v>770</v>
      </c>
      <c r="L1508" s="76"/>
    </row>
    <row r="1509" spans="2:12" ht="12" x14ac:dyDescent="0.15">
      <c r="B1509" s="121">
        <v>13</v>
      </c>
      <c r="C1509" s="167" t="s">
        <v>70</v>
      </c>
      <c r="D1509" s="168" t="s">
        <v>1251</v>
      </c>
      <c r="E1509" s="168" t="s">
        <v>770</v>
      </c>
      <c r="F1509" s="169" t="s">
        <v>770</v>
      </c>
      <c r="G1509" s="122" t="s">
        <v>770</v>
      </c>
      <c r="H1509" s="170">
        <v>40790.313000000009</v>
      </c>
      <c r="I1509" s="168" t="s">
        <v>1200</v>
      </c>
      <c r="J1509" s="168" t="s">
        <v>770</v>
      </c>
      <c r="L1509" s="76"/>
    </row>
    <row r="1510" spans="2:12" ht="12" x14ac:dyDescent="0.15">
      <c r="B1510" s="121">
        <v>13</v>
      </c>
      <c r="C1510" s="167" t="s">
        <v>70</v>
      </c>
      <c r="D1510" s="168" t="s">
        <v>1251</v>
      </c>
      <c r="E1510" s="168" t="s">
        <v>770</v>
      </c>
      <c r="F1510" s="169" t="s">
        <v>770</v>
      </c>
      <c r="G1510" s="122" t="s">
        <v>770</v>
      </c>
      <c r="H1510" s="170">
        <v>1609915.5449999999</v>
      </c>
      <c r="I1510" s="168" t="s">
        <v>1200</v>
      </c>
      <c r="J1510" s="168" t="s">
        <v>770</v>
      </c>
      <c r="L1510" s="76"/>
    </row>
    <row r="1511" spans="2:12" ht="12" x14ac:dyDescent="0.15">
      <c r="B1511" s="121">
        <v>13</v>
      </c>
      <c r="C1511" s="167" t="s">
        <v>70</v>
      </c>
      <c r="D1511" s="168" t="s">
        <v>1251</v>
      </c>
      <c r="E1511" s="168" t="s">
        <v>770</v>
      </c>
      <c r="F1511" s="169" t="s">
        <v>770</v>
      </c>
      <c r="G1511" s="122" t="s">
        <v>770</v>
      </c>
      <c r="H1511" s="170">
        <v>44647.553</v>
      </c>
      <c r="I1511" s="168" t="s">
        <v>1200</v>
      </c>
      <c r="J1511" s="168" t="s">
        <v>770</v>
      </c>
      <c r="L1511" s="76"/>
    </row>
    <row r="1512" spans="2:12" ht="12" x14ac:dyDescent="0.15">
      <c r="B1512" s="121">
        <v>13</v>
      </c>
      <c r="C1512" s="167" t="s">
        <v>70</v>
      </c>
      <c r="D1512" s="168" t="s">
        <v>1251</v>
      </c>
      <c r="E1512" s="168" t="s">
        <v>770</v>
      </c>
      <c r="F1512" s="169" t="s">
        <v>770</v>
      </c>
      <c r="G1512" s="122" t="s">
        <v>770</v>
      </c>
      <c r="H1512" s="170">
        <v>109642.04699999999</v>
      </c>
      <c r="I1512" s="168" t="s">
        <v>1200</v>
      </c>
      <c r="J1512" s="168" t="s">
        <v>770</v>
      </c>
      <c r="L1512" s="76"/>
    </row>
    <row r="1513" spans="2:12" ht="12" x14ac:dyDescent="0.15">
      <c r="B1513" s="121">
        <v>13</v>
      </c>
      <c r="C1513" s="167" t="s">
        <v>70</v>
      </c>
      <c r="D1513" s="168" t="s">
        <v>1251</v>
      </c>
      <c r="E1513" s="168" t="s">
        <v>770</v>
      </c>
      <c r="F1513" s="169" t="s">
        <v>770</v>
      </c>
      <c r="G1513" s="122" t="s">
        <v>770</v>
      </c>
      <c r="H1513" s="170">
        <v>-557756.9040000001</v>
      </c>
      <c r="I1513" s="168" t="s">
        <v>1200</v>
      </c>
      <c r="J1513" s="168" t="s">
        <v>770</v>
      </c>
      <c r="L1513" s="76"/>
    </row>
    <row r="1514" spans="2:12" ht="12" x14ac:dyDescent="0.15">
      <c r="B1514" s="121">
        <v>13</v>
      </c>
      <c r="C1514" s="167" t="s">
        <v>70</v>
      </c>
      <c r="D1514" s="168" t="s">
        <v>1251</v>
      </c>
      <c r="E1514" s="168" t="s">
        <v>770</v>
      </c>
      <c r="F1514" s="169" t="s">
        <v>770</v>
      </c>
      <c r="G1514" s="122" t="s">
        <v>770</v>
      </c>
      <c r="H1514" s="170">
        <v>557756.9040000001</v>
      </c>
      <c r="I1514" s="168" t="s">
        <v>1200</v>
      </c>
      <c r="J1514" s="168" t="s">
        <v>770</v>
      </c>
      <c r="L1514" s="76"/>
    </row>
    <row r="1515" spans="2:12" ht="12" x14ac:dyDescent="0.15">
      <c r="B1515" s="121">
        <v>13</v>
      </c>
      <c r="C1515" s="167" t="s">
        <v>70</v>
      </c>
      <c r="D1515" s="168" t="s">
        <v>770</v>
      </c>
      <c r="E1515" s="168" t="s">
        <v>770</v>
      </c>
      <c r="F1515" s="169" t="s">
        <v>770</v>
      </c>
      <c r="G1515" s="122" t="s">
        <v>770</v>
      </c>
      <c r="H1515" s="170">
        <v>407324.54400000005</v>
      </c>
      <c r="I1515" s="168" t="s">
        <v>1200</v>
      </c>
      <c r="J1515" s="168" t="s">
        <v>770</v>
      </c>
      <c r="L1515" s="76"/>
    </row>
    <row r="1516" spans="2:12" ht="12" x14ac:dyDescent="0.15">
      <c r="B1516" s="121">
        <v>13</v>
      </c>
      <c r="C1516" s="167" t="s">
        <v>70</v>
      </c>
      <c r="D1516" s="168" t="s">
        <v>770</v>
      </c>
      <c r="E1516" s="168" t="s">
        <v>770</v>
      </c>
      <c r="F1516" s="169" t="s">
        <v>770</v>
      </c>
      <c r="G1516" s="122" t="s">
        <v>770</v>
      </c>
      <c r="H1516" s="170">
        <v>27030380.748</v>
      </c>
      <c r="I1516" s="168" t="s">
        <v>1200</v>
      </c>
      <c r="J1516" s="168" t="s">
        <v>770</v>
      </c>
      <c r="L1516" s="76"/>
    </row>
    <row r="1517" spans="2:12" ht="12" x14ac:dyDescent="0.15">
      <c r="B1517" s="121">
        <v>13</v>
      </c>
      <c r="C1517" s="167" t="s">
        <v>70</v>
      </c>
      <c r="D1517" s="168" t="s">
        <v>770</v>
      </c>
      <c r="E1517" s="168" t="s">
        <v>770</v>
      </c>
      <c r="F1517" s="169" t="s">
        <v>770</v>
      </c>
      <c r="G1517" s="122" t="s">
        <v>770</v>
      </c>
      <c r="H1517" s="170">
        <v>27808289.625</v>
      </c>
      <c r="I1517" s="168" t="s">
        <v>1200</v>
      </c>
      <c r="J1517" s="168" t="s">
        <v>770</v>
      </c>
      <c r="L1517" s="76"/>
    </row>
    <row r="1518" spans="2:12" ht="12" x14ac:dyDescent="0.15">
      <c r="B1518" s="121">
        <v>13</v>
      </c>
      <c r="C1518" s="167" t="s">
        <v>70</v>
      </c>
      <c r="D1518" s="168" t="s">
        <v>770</v>
      </c>
      <c r="E1518" s="168" t="s">
        <v>770</v>
      </c>
      <c r="F1518" s="169" t="s">
        <v>770</v>
      </c>
      <c r="G1518" s="122" t="s">
        <v>770</v>
      </c>
      <c r="H1518" s="170">
        <v>8752849.0079999994</v>
      </c>
      <c r="I1518" s="168" t="s">
        <v>1200</v>
      </c>
      <c r="J1518" s="168" t="s">
        <v>770</v>
      </c>
      <c r="L1518" s="76"/>
    </row>
    <row r="1519" spans="2:12" ht="12" x14ac:dyDescent="0.15">
      <c r="B1519" s="121">
        <v>13</v>
      </c>
      <c r="C1519" s="167" t="s">
        <v>70</v>
      </c>
      <c r="D1519" s="168" t="s">
        <v>770</v>
      </c>
      <c r="E1519" s="168" t="s">
        <v>770</v>
      </c>
      <c r="F1519" s="169" t="s">
        <v>770</v>
      </c>
      <c r="G1519" s="122" t="s">
        <v>770</v>
      </c>
      <c r="H1519" s="170">
        <v>35197.315000000002</v>
      </c>
      <c r="I1519" s="168" t="s">
        <v>1200</v>
      </c>
      <c r="J1519" s="168" t="s">
        <v>770</v>
      </c>
      <c r="L1519" s="76"/>
    </row>
    <row r="1520" spans="2:12" ht="12" x14ac:dyDescent="0.15">
      <c r="B1520" s="121">
        <v>13</v>
      </c>
      <c r="C1520" s="167" t="s">
        <v>70</v>
      </c>
      <c r="D1520" s="168" t="s">
        <v>770</v>
      </c>
      <c r="E1520" s="168" t="s">
        <v>770</v>
      </c>
      <c r="F1520" s="169" t="s">
        <v>770</v>
      </c>
      <c r="G1520" s="122" t="s">
        <v>770</v>
      </c>
      <c r="H1520" s="170">
        <v>350623.11599999998</v>
      </c>
      <c r="I1520" s="168" t="s">
        <v>1200</v>
      </c>
      <c r="J1520" s="168" t="s">
        <v>770</v>
      </c>
      <c r="L1520" s="76"/>
    </row>
    <row r="1521" spans="2:12" ht="12" x14ac:dyDescent="0.15">
      <c r="B1521" s="121">
        <v>13</v>
      </c>
      <c r="C1521" s="167" t="s">
        <v>70</v>
      </c>
      <c r="D1521" s="168" t="s">
        <v>770</v>
      </c>
      <c r="E1521" s="168" t="s">
        <v>770</v>
      </c>
      <c r="F1521" s="169" t="s">
        <v>770</v>
      </c>
      <c r="G1521" s="122" t="s">
        <v>770</v>
      </c>
      <c r="H1521" s="170">
        <v>96720.292999999991</v>
      </c>
      <c r="I1521" s="168" t="s">
        <v>1200</v>
      </c>
      <c r="J1521" s="168" t="s">
        <v>770</v>
      </c>
      <c r="L1521" s="76"/>
    </row>
    <row r="1522" spans="2:12" ht="12" x14ac:dyDescent="0.15">
      <c r="B1522" s="121">
        <v>13</v>
      </c>
      <c r="C1522" s="167" t="s">
        <v>70</v>
      </c>
      <c r="D1522" s="168" t="s">
        <v>770</v>
      </c>
      <c r="E1522" s="168" t="s">
        <v>770</v>
      </c>
      <c r="F1522" s="169" t="s">
        <v>770</v>
      </c>
      <c r="G1522" s="122" t="s">
        <v>770</v>
      </c>
      <c r="H1522" s="170">
        <v>30665.058000000001</v>
      </c>
      <c r="I1522" s="168" t="s">
        <v>1200</v>
      </c>
      <c r="J1522" s="168" t="s">
        <v>770</v>
      </c>
      <c r="L1522" s="76"/>
    </row>
    <row r="1523" spans="2:12" ht="12" x14ac:dyDescent="0.15">
      <c r="B1523" s="121">
        <v>13</v>
      </c>
      <c r="C1523" s="167" t="s">
        <v>70</v>
      </c>
      <c r="D1523" s="168" t="s">
        <v>770</v>
      </c>
      <c r="E1523" s="168" t="s">
        <v>770</v>
      </c>
      <c r="F1523" s="169" t="s">
        <v>770</v>
      </c>
      <c r="G1523" s="122" t="s">
        <v>770</v>
      </c>
      <c r="H1523" s="170">
        <v>2680203.2140000002</v>
      </c>
      <c r="I1523" s="168" t="s">
        <v>1200</v>
      </c>
      <c r="J1523" s="168" t="s">
        <v>770</v>
      </c>
      <c r="L1523" s="76"/>
    </row>
    <row r="1524" spans="2:12" ht="12" x14ac:dyDescent="0.15">
      <c r="B1524" s="121">
        <v>13</v>
      </c>
      <c r="C1524" s="167" t="s">
        <v>70</v>
      </c>
      <c r="D1524" s="168" t="s">
        <v>770</v>
      </c>
      <c r="E1524" s="168" t="s">
        <v>770</v>
      </c>
      <c r="F1524" s="169" t="s">
        <v>770</v>
      </c>
      <c r="G1524" s="122" t="s">
        <v>770</v>
      </c>
      <c r="H1524" s="170">
        <v>71841.095000000001</v>
      </c>
      <c r="I1524" s="168" t="s">
        <v>1200</v>
      </c>
      <c r="J1524" s="168" t="s">
        <v>770</v>
      </c>
      <c r="L1524" s="76"/>
    </row>
    <row r="1525" spans="2:12" ht="12" x14ac:dyDescent="0.15">
      <c r="B1525" s="121">
        <v>13</v>
      </c>
      <c r="C1525" s="167" t="s">
        <v>70</v>
      </c>
      <c r="D1525" s="168" t="s">
        <v>770</v>
      </c>
      <c r="E1525" s="168" t="s">
        <v>770</v>
      </c>
      <c r="F1525" s="169" t="s">
        <v>770</v>
      </c>
      <c r="G1525" s="122" t="s">
        <v>770</v>
      </c>
      <c r="H1525" s="170">
        <v>619183.451</v>
      </c>
      <c r="I1525" s="168" t="s">
        <v>1200</v>
      </c>
      <c r="J1525" s="168" t="s">
        <v>770</v>
      </c>
      <c r="L1525" s="76"/>
    </row>
    <row r="1526" spans="2:12" ht="12" x14ac:dyDescent="0.15">
      <c r="B1526" s="121">
        <v>13</v>
      </c>
      <c r="C1526" s="167" t="s">
        <v>70</v>
      </c>
      <c r="D1526" s="168" t="s">
        <v>770</v>
      </c>
      <c r="E1526" s="168" t="s">
        <v>770</v>
      </c>
      <c r="F1526" s="169" t="s">
        <v>770</v>
      </c>
      <c r="G1526" s="122" t="s">
        <v>770</v>
      </c>
      <c r="H1526" s="170">
        <v>35197.315000000002</v>
      </c>
      <c r="I1526" s="168" t="s">
        <v>1200</v>
      </c>
      <c r="J1526" s="168" t="s">
        <v>770</v>
      </c>
      <c r="L1526" s="76"/>
    </row>
    <row r="1527" spans="2:12" ht="12" x14ac:dyDescent="0.15">
      <c r="B1527" s="121">
        <v>13</v>
      </c>
      <c r="C1527" s="167" t="s">
        <v>70</v>
      </c>
      <c r="D1527" s="168" t="s">
        <v>770</v>
      </c>
      <c r="E1527" s="168" t="s">
        <v>770</v>
      </c>
      <c r="F1527" s="169" t="s">
        <v>770</v>
      </c>
      <c r="G1527" s="122" t="s">
        <v>770</v>
      </c>
      <c r="H1527" s="170">
        <v>186015.399</v>
      </c>
      <c r="I1527" s="168" t="s">
        <v>1200</v>
      </c>
      <c r="J1527" s="168" t="s">
        <v>770</v>
      </c>
      <c r="L1527" s="76"/>
    </row>
    <row r="1528" spans="2:12" ht="12" x14ac:dyDescent="0.15">
      <c r="B1528" s="121">
        <v>13</v>
      </c>
      <c r="C1528" s="167" t="s">
        <v>70</v>
      </c>
      <c r="D1528" s="168" t="s">
        <v>770</v>
      </c>
      <c r="E1528" s="168" t="s">
        <v>770</v>
      </c>
      <c r="F1528" s="169" t="s">
        <v>770</v>
      </c>
      <c r="G1528" s="122" t="s">
        <v>770</v>
      </c>
      <c r="H1528" s="170">
        <v>35197.315000000002</v>
      </c>
      <c r="I1528" s="168" t="s">
        <v>1200</v>
      </c>
      <c r="J1528" s="168" t="s">
        <v>770</v>
      </c>
      <c r="L1528" s="76"/>
    </row>
    <row r="1529" spans="2:12" ht="12" x14ac:dyDescent="0.15">
      <c r="B1529" s="121">
        <v>13</v>
      </c>
      <c r="C1529" s="167" t="s">
        <v>70</v>
      </c>
      <c r="D1529" s="168" t="s">
        <v>770</v>
      </c>
      <c r="E1529" s="168" t="s">
        <v>770</v>
      </c>
      <c r="F1529" s="169" t="s">
        <v>770</v>
      </c>
      <c r="G1529" s="122" t="s">
        <v>770</v>
      </c>
      <c r="H1529" s="170">
        <v>98456.051000000007</v>
      </c>
      <c r="I1529" s="168" t="s">
        <v>1200</v>
      </c>
      <c r="J1529" s="168" t="s">
        <v>770</v>
      </c>
      <c r="L1529" s="76"/>
    </row>
    <row r="1530" spans="2:12" ht="12" x14ac:dyDescent="0.15">
      <c r="B1530" s="121">
        <v>13</v>
      </c>
      <c r="C1530" s="167" t="s">
        <v>70</v>
      </c>
      <c r="D1530" s="168" t="s">
        <v>770</v>
      </c>
      <c r="E1530" s="168" t="s">
        <v>770</v>
      </c>
      <c r="F1530" s="169" t="s">
        <v>770</v>
      </c>
      <c r="G1530" s="122" t="s">
        <v>770</v>
      </c>
      <c r="H1530" s="170">
        <v>624487.15600000008</v>
      </c>
      <c r="I1530" s="168" t="s">
        <v>1200</v>
      </c>
      <c r="J1530" s="168" t="s">
        <v>770</v>
      </c>
      <c r="L1530" s="76"/>
    </row>
    <row r="1531" spans="2:12" ht="12" x14ac:dyDescent="0.15">
      <c r="B1531" s="121">
        <v>13</v>
      </c>
      <c r="C1531" s="167" t="s">
        <v>70</v>
      </c>
      <c r="D1531" s="168" t="s">
        <v>770</v>
      </c>
      <c r="E1531" s="168" t="s">
        <v>770</v>
      </c>
      <c r="F1531" s="169" t="s">
        <v>770</v>
      </c>
      <c r="G1531" s="122" t="s">
        <v>770</v>
      </c>
      <c r="H1531" s="170">
        <v>188233.31200000001</v>
      </c>
      <c r="I1531" s="168" t="s">
        <v>1200</v>
      </c>
      <c r="J1531" s="168" t="s">
        <v>770</v>
      </c>
      <c r="L1531" s="76"/>
    </row>
    <row r="1532" spans="2:12" ht="12" x14ac:dyDescent="0.15">
      <c r="B1532" s="121">
        <v>13</v>
      </c>
      <c r="C1532" s="167" t="s">
        <v>70</v>
      </c>
      <c r="D1532" s="168" t="s">
        <v>770</v>
      </c>
      <c r="E1532" s="168" t="s">
        <v>770</v>
      </c>
      <c r="F1532" s="169" t="s">
        <v>770</v>
      </c>
      <c r="G1532" s="122" t="s">
        <v>770</v>
      </c>
      <c r="H1532" s="170">
        <v>57955.031000000003</v>
      </c>
      <c r="I1532" s="168" t="s">
        <v>1200</v>
      </c>
      <c r="J1532" s="168" t="s">
        <v>770</v>
      </c>
      <c r="L1532" s="76"/>
    </row>
    <row r="1533" spans="2:12" ht="12" x14ac:dyDescent="0.15">
      <c r="B1533" s="121">
        <v>13</v>
      </c>
      <c r="C1533" s="167" t="s">
        <v>70</v>
      </c>
      <c r="D1533" s="168" t="s">
        <v>770</v>
      </c>
      <c r="E1533" s="168" t="s">
        <v>770</v>
      </c>
      <c r="F1533" s="169" t="s">
        <v>770</v>
      </c>
      <c r="G1533" s="122" t="s">
        <v>770</v>
      </c>
      <c r="H1533" s="170">
        <v>99034.637000000002</v>
      </c>
      <c r="I1533" s="168" t="s">
        <v>1200</v>
      </c>
      <c r="J1533" s="168" t="s">
        <v>770</v>
      </c>
      <c r="L1533" s="76"/>
    </row>
    <row r="1534" spans="2:12" ht="12" x14ac:dyDescent="0.15">
      <c r="B1534" s="121">
        <v>13</v>
      </c>
      <c r="C1534" s="167" t="s">
        <v>70</v>
      </c>
      <c r="D1534" s="168" t="s">
        <v>770</v>
      </c>
      <c r="E1534" s="168" t="s">
        <v>770</v>
      </c>
      <c r="F1534" s="169" t="s">
        <v>770</v>
      </c>
      <c r="G1534" s="122" t="s">
        <v>770</v>
      </c>
      <c r="H1534" s="170">
        <v>3139600.4980000001</v>
      </c>
      <c r="I1534" s="168" t="s">
        <v>1200</v>
      </c>
      <c r="J1534" s="168" t="s">
        <v>770</v>
      </c>
      <c r="L1534" s="76"/>
    </row>
    <row r="1535" spans="2:12" ht="12" x14ac:dyDescent="0.15">
      <c r="B1535" s="121">
        <v>13</v>
      </c>
      <c r="C1535" s="167" t="s">
        <v>70</v>
      </c>
      <c r="D1535" s="168" t="s">
        <v>770</v>
      </c>
      <c r="E1535" s="168" t="s">
        <v>770</v>
      </c>
      <c r="F1535" s="169" t="s">
        <v>770</v>
      </c>
      <c r="G1535" s="122" t="s">
        <v>770</v>
      </c>
      <c r="H1535" s="170">
        <v>434132.36200000002</v>
      </c>
      <c r="I1535" s="168" t="s">
        <v>1200</v>
      </c>
      <c r="J1535" s="168" t="s">
        <v>770</v>
      </c>
      <c r="L1535" s="76"/>
    </row>
    <row r="1536" spans="2:12" ht="12" x14ac:dyDescent="0.15">
      <c r="B1536" s="121">
        <v>13</v>
      </c>
      <c r="C1536" s="167" t="s">
        <v>70</v>
      </c>
      <c r="D1536" s="168" t="s">
        <v>770</v>
      </c>
      <c r="E1536" s="168" t="s">
        <v>770</v>
      </c>
      <c r="F1536" s="169" t="s">
        <v>770</v>
      </c>
      <c r="G1536" s="122" t="s">
        <v>770</v>
      </c>
      <c r="H1536" s="170">
        <v>434132.36200000002</v>
      </c>
      <c r="I1536" s="168" t="s">
        <v>1200</v>
      </c>
      <c r="J1536" s="168" t="s">
        <v>770</v>
      </c>
      <c r="L1536" s="76"/>
    </row>
    <row r="1537" spans="2:12" ht="12" x14ac:dyDescent="0.15">
      <c r="B1537" s="121">
        <v>13</v>
      </c>
      <c r="C1537" s="167" t="s">
        <v>70</v>
      </c>
      <c r="D1537" s="168" t="s">
        <v>770</v>
      </c>
      <c r="E1537" s="168" t="s">
        <v>770</v>
      </c>
      <c r="F1537" s="169" t="s">
        <v>770</v>
      </c>
      <c r="G1537" s="122" t="s">
        <v>770</v>
      </c>
      <c r="H1537" s="170">
        <v>456022.19900000002</v>
      </c>
      <c r="I1537" s="168" t="s">
        <v>1200</v>
      </c>
      <c r="J1537" s="168" t="s">
        <v>770</v>
      </c>
      <c r="L1537" s="76"/>
    </row>
    <row r="1538" spans="2:12" ht="12" x14ac:dyDescent="0.15">
      <c r="B1538" s="121">
        <v>13</v>
      </c>
      <c r="C1538" s="167" t="s">
        <v>70</v>
      </c>
      <c r="D1538" s="168" t="s">
        <v>770</v>
      </c>
      <c r="E1538" s="168" t="s">
        <v>770</v>
      </c>
      <c r="F1538" s="169" t="s">
        <v>770</v>
      </c>
      <c r="G1538" s="122" t="s">
        <v>770</v>
      </c>
      <c r="H1538" s="170">
        <v>454382.87199999997</v>
      </c>
      <c r="I1538" s="168" t="s">
        <v>1200</v>
      </c>
      <c r="J1538" s="168" t="s">
        <v>770</v>
      </c>
      <c r="L1538" s="76"/>
    </row>
    <row r="1539" spans="2:12" ht="12" x14ac:dyDescent="0.15">
      <c r="B1539" s="121">
        <v>13</v>
      </c>
      <c r="C1539" s="167" t="s">
        <v>70</v>
      </c>
      <c r="D1539" s="168" t="s">
        <v>770</v>
      </c>
      <c r="E1539" s="168" t="s">
        <v>770</v>
      </c>
      <c r="F1539" s="169" t="s">
        <v>770</v>
      </c>
      <c r="G1539" s="122" t="s">
        <v>770</v>
      </c>
      <c r="H1539" s="170">
        <v>236834.53599999999</v>
      </c>
      <c r="I1539" s="168" t="s">
        <v>1200</v>
      </c>
      <c r="J1539" s="168" t="s">
        <v>770</v>
      </c>
      <c r="L1539" s="76"/>
    </row>
    <row r="1540" spans="2:12" ht="12" x14ac:dyDescent="0.15">
      <c r="B1540" s="121">
        <v>13</v>
      </c>
      <c r="C1540" s="167" t="s">
        <v>70</v>
      </c>
      <c r="D1540" s="168" t="s">
        <v>770</v>
      </c>
      <c r="E1540" s="168" t="s">
        <v>770</v>
      </c>
      <c r="F1540" s="169" t="s">
        <v>770</v>
      </c>
      <c r="G1540" s="122" t="s">
        <v>770</v>
      </c>
      <c r="H1540" s="170">
        <v>1101724.175</v>
      </c>
      <c r="I1540" s="168" t="s">
        <v>1200</v>
      </c>
      <c r="J1540" s="168" t="s">
        <v>770</v>
      </c>
      <c r="L1540" s="76"/>
    </row>
    <row r="1541" spans="2:12" ht="12" x14ac:dyDescent="0.15">
      <c r="B1541" s="121">
        <v>13</v>
      </c>
      <c r="C1541" s="167" t="s">
        <v>70</v>
      </c>
      <c r="D1541" s="168" t="s">
        <v>770</v>
      </c>
      <c r="E1541" s="168" t="s">
        <v>770</v>
      </c>
      <c r="F1541" s="169" t="s">
        <v>770</v>
      </c>
      <c r="G1541" s="122" t="s">
        <v>770</v>
      </c>
      <c r="H1541" s="170">
        <v>236738.10500000001</v>
      </c>
      <c r="I1541" s="168" t="s">
        <v>1200</v>
      </c>
      <c r="J1541" s="168" t="s">
        <v>770</v>
      </c>
      <c r="L1541" s="76"/>
    </row>
    <row r="1542" spans="2:12" ht="12" x14ac:dyDescent="0.15">
      <c r="B1542" s="121">
        <v>13</v>
      </c>
      <c r="C1542" s="167" t="s">
        <v>70</v>
      </c>
      <c r="D1542" s="168" t="s">
        <v>770</v>
      </c>
      <c r="E1542" s="168" t="s">
        <v>770</v>
      </c>
      <c r="F1542" s="169" t="s">
        <v>770</v>
      </c>
      <c r="G1542" s="122" t="s">
        <v>770</v>
      </c>
      <c r="H1542" s="170">
        <v>569232.19300000009</v>
      </c>
      <c r="I1542" s="168" t="s">
        <v>1200</v>
      </c>
      <c r="J1542" s="168" t="s">
        <v>770</v>
      </c>
      <c r="L1542" s="76"/>
    </row>
    <row r="1543" spans="2:12" ht="12" x14ac:dyDescent="0.15">
      <c r="B1543" s="121">
        <v>13</v>
      </c>
      <c r="C1543" s="167" t="s">
        <v>70</v>
      </c>
      <c r="D1543" s="168" t="s">
        <v>770</v>
      </c>
      <c r="E1543" s="168" t="s">
        <v>770</v>
      </c>
      <c r="F1543" s="169" t="s">
        <v>770</v>
      </c>
      <c r="G1543" s="122" t="s">
        <v>770</v>
      </c>
      <c r="H1543" s="170">
        <v>569232.19300000009</v>
      </c>
      <c r="I1543" s="168" t="s">
        <v>1200</v>
      </c>
      <c r="J1543" s="168" t="s">
        <v>770</v>
      </c>
      <c r="L1543" s="76"/>
    </row>
    <row r="1544" spans="2:12" ht="12" x14ac:dyDescent="0.15">
      <c r="B1544" s="121">
        <v>13</v>
      </c>
      <c r="C1544" s="167" t="s">
        <v>70</v>
      </c>
      <c r="D1544" s="168" t="s">
        <v>770</v>
      </c>
      <c r="E1544" s="168" t="s">
        <v>770</v>
      </c>
      <c r="F1544" s="169" t="s">
        <v>770</v>
      </c>
      <c r="G1544" s="122" t="s">
        <v>770</v>
      </c>
      <c r="H1544" s="170">
        <v>569232.19300000009</v>
      </c>
      <c r="I1544" s="168" t="s">
        <v>1200</v>
      </c>
      <c r="J1544" s="168" t="s">
        <v>770</v>
      </c>
      <c r="L1544" s="76"/>
    </row>
    <row r="1545" spans="2:12" ht="12" x14ac:dyDescent="0.15">
      <c r="B1545" s="121">
        <v>13</v>
      </c>
      <c r="C1545" s="167" t="s">
        <v>70</v>
      </c>
      <c r="D1545" s="168" t="s">
        <v>770</v>
      </c>
      <c r="E1545" s="168" t="s">
        <v>770</v>
      </c>
      <c r="F1545" s="169" t="s">
        <v>770</v>
      </c>
      <c r="G1545" s="122" t="s">
        <v>770</v>
      </c>
      <c r="H1545" s="170">
        <v>236063.08800000002</v>
      </c>
      <c r="I1545" s="168" t="s">
        <v>1200</v>
      </c>
      <c r="J1545" s="168" t="s">
        <v>770</v>
      </c>
      <c r="L1545" s="76"/>
    </row>
    <row r="1546" spans="2:12" ht="12" x14ac:dyDescent="0.15">
      <c r="B1546" s="121">
        <v>13</v>
      </c>
      <c r="C1546" s="167" t="s">
        <v>70</v>
      </c>
      <c r="D1546" s="168" t="s">
        <v>770</v>
      </c>
      <c r="E1546" s="168" t="s">
        <v>770</v>
      </c>
      <c r="F1546" s="169" t="s">
        <v>770</v>
      </c>
      <c r="G1546" s="122" t="s">
        <v>770</v>
      </c>
      <c r="H1546" s="170">
        <v>236063.08800000002</v>
      </c>
      <c r="I1546" s="168" t="s">
        <v>1200</v>
      </c>
      <c r="J1546" s="168" t="s">
        <v>770</v>
      </c>
      <c r="L1546" s="76"/>
    </row>
    <row r="1547" spans="2:12" ht="12" x14ac:dyDescent="0.15">
      <c r="B1547" s="121">
        <v>13</v>
      </c>
      <c r="C1547" s="167" t="s">
        <v>70</v>
      </c>
      <c r="D1547" s="168" t="s">
        <v>770</v>
      </c>
      <c r="E1547" s="168" t="s">
        <v>770</v>
      </c>
      <c r="F1547" s="169" t="s">
        <v>770</v>
      </c>
      <c r="G1547" s="122" t="s">
        <v>770</v>
      </c>
      <c r="H1547" s="170">
        <v>236063.08800000002</v>
      </c>
      <c r="I1547" s="168" t="s">
        <v>1200</v>
      </c>
      <c r="J1547" s="168" t="s">
        <v>770</v>
      </c>
      <c r="L1547" s="76"/>
    </row>
    <row r="1548" spans="2:12" ht="12" x14ac:dyDescent="0.15">
      <c r="B1548" s="121">
        <v>13</v>
      </c>
      <c r="C1548" s="167" t="s">
        <v>70</v>
      </c>
      <c r="D1548" s="168" t="s">
        <v>770</v>
      </c>
      <c r="E1548" s="168" t="s">
        <v>770</v>
      </c>
      <c r="F1548" s="169" t="s">
        <v>770</v>
      </c>
      <c r="G1548" s="122" t="s">
        <v>770</v>
      </c>
      <c r="H1548" s="170">
        <v>62005.133000000002</v>
      </c>
      <c r="I1548" s="168" t="s">
        <v>1200</v>
      </c>
      <c r="J1548" s="168" t="s">
        <v>770</v>
      </c>
      <c r="L1548" s="76"/>
    </row>
    <row r="1549" spans="2:12" ht="12" x14ac:dyDescent="0.15">
      <c r="B1549" s="121">
        <v>13</v>
      </c>
      <c r="C1549" s="167" t="s">
        <v>70</v>
      </c>
      <c r="D1549" s="168" t="s">
        <v>770</v>
      </c>
      <c r="E1549" s="168" t="s">
        <v>770</v>
      </c>
      <c r="F1549" s="169" t="s">
        <v>770</v>
      </c>
      <c r="G1549" s="122" t="s">
        <v>770</v>
      </c>
      <c r="H1549" s="170">
        <v>126999.62700000001</v>
      </c>
      <c r="I1549" s="168" t="s">
        <v>1200</v>
      </c>
      <c r="J1549" s="168" t="s">
        <v>770</v>
      </c>
      <c r="L1549" s="76"/>
    </row>
    <row r="1550" spans="2:12" ht="12" x14ac:dyDescent="0.15">
      <c r="B1550" s="121">
        <v>13</v>
      </c>
      <c r="C1550" s="167" t="s">
        <v>70</v>
      </c>
      <c r="D1550" s="168" t="s">
        <v>770</v>
      </c>
      <c r="E1550" s="168" t="s">
        <v>770</v>
      </c>
      <c r="F1550" s="169" t="s">
        <v>770</v>
      </c>
      <c r="G1550" s="122" t="s">
        <v>770</v>
      </c>
      <c r="H1550" s="170">
        <v>4507763.5259999996</v>
      </c>
      <c r="I1550" s="168" t="s">
        <v>1200</v>
      </c>
      <c r="J1550" s="168" t="s">
        <v>770</v>
      </c>
      <c r="L1550" s="76"/>
    </row>
    <row r="1551" spans="2:12" ht="12" x14ac:dyDescent="0.15">
      <c r="B1551" s="121">
        <v>13</v>
      </c>
      <c r="C1551" s="167" t="s">
        <v>70</v>
      </c>
      <c r="D1551" s="168" t="s">
        <v>770</v>
      </c>
      <c r="E1551" s="168" t="s">
        <v>770</v>
      </c>
      <c r="F1551" s="169" t="s">
        <v>770</v>
      </c>
      <c r="G1551" s="122" t="s">
        <v>770</v>
      </c>
      <c r="H1551" s="170">
        <v>1628141.0040000002</v>
      </c>
      <c r="I1551" s="168" t="s">
        <v>1200</v>
      </c>
      <c r="J1551" s="168" t="s">
        <v>770</v>
      </c>
      <c r="L1551" s="76"/>
    </row>
    <row r="1552" spans="2:12" ht="12" x14ac:dyDescent="0.15">
      <c r="B1552" s="121">
        <v>13</v>
      </c>
      <c r="C1552" s="167" t="s">
        <v>70</v>
      </c>
      <c r="D1552" s="168" t="s">
        <v>770</v>
      </c>
      <c r="E1552" s="168" t="s">
        <v>770</v>
      </c>
      <c r="F1552" s="169" t="s">
        <v>770</v>
      </c>
      <c r="G1552" s="122" t="s">
        <v>770</v>
      </c>
      <c r="H1552" s="170">
        <v>767976.48400000005</v>
      </c>
      <c r="I1552" s="168" t="s">
        <v>1200</v>
      </c>
      <c r="J1552" s="168" t="s">
        <v>770</v>
      </c>
      <c r="L1552" s="76"/>
    </row>
    <row r="1553" spans="2:12" ht="12" x14ac:dyDescent="0.15">
      <c r="B1553" s="121">
        <v>13</v>
      </c>
      <c r="C1553" s="167" t="s">
        <v>70</v>
      </c>
      <c r="D1553" s="168" t="s">
        <v>770</v>
      </c>
      <c r="E1553" s="168" t="s">
        <v>770</v>
      </c>
      <c r="F1553" s="169" t="s">
        <v>770</v>
      </c>
      <c r="G1553" s="122" t="s">
        <v>770</v>
      </c>
      <c r="H1553" s="170">
        <v>1628141.0040000002</v>
      </c>
      <c r="I1553" s="168" t="s">
        <v>1200</v>
      </c>
      <c r="J1553" s="168" t="s">
        <v>770</v>
      </c>
      <c r="L1553" s="76"/>
    </row>
    <row r="1554" spans="2:12" ht="12" x14ac:dyDescent="0.15">
      <c r="B1554" s="121">
        <v>13</v>
      </c>
      <c r="C1554" s="167" t="s">
        <v>70</v>
      </c>
      <c r="D1554" s="168" t="s">
        <v>770</v>
      </c>
      <c r="E1554" s="168" t="s">
        <v>770</v>
      </c>
      <c r="F1554" s="169" t="s">
        <v>770</v>
      </c>
      <c r="G1554" s="122" t="s">
        <v>770</v>
      </c>
      <c r="H1554" s="170">
        <v>209062.408</v>
      </c>
      <c r="I1554" s="168" t="s">
        <v>1200</v>
      </c>
      <c r="J1554" s="168" t="s">
        <v>770</v>
      </c>
      <c r="L1554" s="76"/>
    </row>
    <row r="1555" spans="2:12" ht="12" x14ac:dyDescent="0.15">
      <c r="B1555" s="121">
        <v>13</v>
      </c>
      <c r="C1555" s="167" t="s">
        <v>70</v>
      </c>
      <c r="D1555" s="168" t="s">
        <v>770</v>
      </c>
      <c r="E1555" s="168" t="s">
        <v>770</v>
      </c>
      <c r="F1555" s="169" t="s">
        <v>770</v>
      </c>
      <c r="G1555" s="122" t="s">
        <v>770</v>
      </c>
      <c r="H1555" s="170">
        <v>115427.90700000001</v>
      </c>
      <c r="I1555" s="168" t="s">
        <v>1200</v>
      </c>
      <c r="J1555" s="168" t="s">
        <v>770</v>
      </c>
      <c r="L1555" s="76"/>
    </row>
    <row r="1556" spans="2:12" ht="12" x14ac:dyDescent="0.15">
      <c r="B1556" s="121">
        <v>13</v>
      </c>
      <c r="C1556" s="167" t="s">
        <v>70</v>
      </c>
      <c r="D1556" s="168" t="s">
        <v>770</v>
      </c>
      <c r="E1556" s="168" t="s">
        <v>770</v>
      </c>
      <c r="F1556" s="169" t="s">
        <v>770</v>
      </c>
      <c r="G1556" s="122" t="s">
        <v>770</v>
      </c>
      <c r="H1556" s="170">
        <v>222948.47200000001</v>
      </c>
      <c r="I1556" s="168" t="s">
        <v>1200</v>
      </c>
      <c r="J1556" s="168" t="s">
        <v>770</v>
      </c>
      <c r="L1556" s="76"/>
    </row>
    <row r="1557" spans="2:12" ht="12" x14ac:dyDescent="0.15">
      <c r="B1557" s="121">
        <v>13</v>
      </c>
      <c r="C1557" s="167" t="s">
        <v>70</v>
      </c>
      <c r="D1557" s="168" t="s">
        <v>770</v>
      </c>
      <c r="E1557" s="168" t="s">
        <v>770</v>
      </c>
      <c r="F1557" s="169" t="s">
        <v>770</v>
      </c>
      <c r="G1557" s="122" t="s">
        <v>770</v>
      </c>
      <c r="H1557" s="170">
        <v>216101.87100000001</v>
      </c>
      <c r="I1557" s="168" t="s">
        <v>1200</v>
      </c>
      <c r="J1557" s="168" t="s">
        <v>770</v>
      </c>
      <c r="L1557" s="76"/>
    </row>
    <row r="1558" spans="2:12" ht="12" x14ac:dyDescent="0.15">
      <c r="B1558" s="121">
        <v>13</v>
      </c>
      <c r="C1558" s="167" t="s">
        <v>70</v>
      </c>
      <c r="D1558" s="168" t="s">
        <v>770</v>
      </c>
      <c r="E1558" s="168" t="s">
        <v>770</v>
      </c>
      <c r="F1558" s="169" t="s">
        <v>770</v>
      </c>
      <c r="G1558" s="122" t="s">
        <v>770</v>
      </c>
      <c r="H1558" s="170">
        <v>1587157.8290000001</v>
      </c>
      <c r="I1558" s="168" t="s">
        <v>1200</v>
      </c>
      <c r="J1558" s="168" t="s">
        <v>770</v>
      </c>
      <c r="L1558" s="76"/>
    </row>
    <row r="1559" spans="2:12" ht="12" x14ac:dyDescent="0.15">
      <c r="B1559" s="121">
        <v>13</v>
      </c>
      <c r="C1559" s="167" t="s">
        <v>70</v>
      </c>
      <c r="D1559" s="168" t="s">
        <v>770</v>
      </c>
      <c r="E1559" s="168" t="s">
        <v>770</v>
      </c>
      <c r="F1559" s="169" t="s">
        <v>770</v>
      </c>
      <c r="G1559" s="122" t="s">
        <v>770</v>
      </c>
      <c r="H1559" s="170">
        <v>1184654.835</v>
      </c>
      <c r="I1559" s="168" t="s">
        <v>1200</v>
      </c>
      <c r="J1559" s="168" t="s">
        <v>770</v>
      </c>
      <c r="L1559" s="76"/>
    </row>
    <row r="1560" spans="2:12" ht="12" x14ac:dyDescent="0.15">
      <c r="B1560" s="121">
        <v>13</v>
      </c>
      <c r="C1560" s="167" t="s">
        <v>70</v>
      </c>
      <c r="D1560" s="168" t="s">
        <v>770</v>
      </c>
      <c r="E1560" s="168" t="s">
        <v>770</v>
      </c>
      <c r="F1560" s="169" t="s">
        <v>770</v>
      </c>
      <c r="G1560" s="122" t="s">
        <v>770</v>
      </c>
      <c r="H1560" s="170">
        <v>216101.87100000001</v>
      </c>
      <c r="I1560" s="168" t="s">
        <v>1200</v>
      </c>
      <c r="J1560" s="168" t="s">
        <v>770</v>
      </c>
      <c r="L1560" s="76"/>
    </row>
    <row r="1561" spans="2:12" ht="12" x14ac:dyDescent="0.15">
      <c r="B1561" s="121">
        <v>13</v>
      </c>
      <c r="C1561" s="167" t="s">
        <v>70</v>
      </c>
      <c r="D1561" s="168" t="s">
        <v>770</v>
      </c>
      <c r="E1561" s="168" t="s">
        <v>770</v>
      </c>
      <c r="F1561" s="169" t="s">
        <v>770</v>
      </c>
      <c r="G1561" s="122" t="s">
        <v>770</v>
      </c>
      <c r="H1561" s="170">
        <v>1587157.8290000001</v>
      </c>
      <c r="I1561" s="168" t="s">
        <v>1200</v>
      </c>
      <c r="J1561" s="168" t="s">
        <v>770</v>
      </c>
      <c r="L1561" s="76"/>
    </row>
    <row r="1562" spans="2:12" ht="12" x14ac:dyDescent="0.15">
      <c r="B1562" s="121">
        <v>13</v>
      </c>
      <c r="C1562" s="167" t="s">
        <v>70</v>
      </c>
      <c r="D1562" s="168" t="s">
        <v>770</v>
      </c>
      <c r="E1562" s="168" t="s">
        <v>770</v>
      </c>
      <c r="F1562" s="169" t="s">
        <v>770</v>
      </c>
      <c r="G1562" s="122" t="s">
        <v>770</v>
      </c>
      <c r="H1562" s="170">
        <v>1184654.835</v>
      </c>
      <c r="I1562" s="168" t="s">
        <v>1200</v>
      </c>
      <c r="J1562" s="168" t="s">
        <v>770</v>
      </c>
      <c r="L1562" s="76"/>
    </row>
    <row r="1563" spans="2:12" ht="12" x14ac:dyDescent="0.15">
      <c r="B1563" s="121">
        <v>13</v>
      </c>
      <c r="C1563" s="167" t="s">
        <v>70</v>
      </c>
      <c r="D1563" s="168" t="s">
        <v>770</v>
      </c>
      <c r="E1563" s="168" t="s">
        <v>770</v>
      </c>
      <c r="F1563" s="169" t="s">
        <v>770</v>
      </c>
      <c r="G1563" s="122" t="s">
        <v>770</v>
      </c>
      <c r="H1563" s="170">
        <v>216101.87100000001</v>
      </c>
      <c r="I1563" s="168" t="s">
        <v>1200</v>
      </c>
      <c r="J1563" s="168" t="s">
        <v>770</v>
      </c>
      <c r="L1563" s="76"/>
    </row>
    <row r="1564" spans="2:12" ht="12" x14ac:dyDescent="0.15">
      <c r="B1564" s="121">
        <v>13</v>
      </c>
      <c r="C1564" s="167" t="s">
        <v>70</v>
      </c>
      <c r="D1564" s="168" t="s">
        <v>770</v>
      </c>
      <c r="E1564" s="168" t="s">
        <v>770</v>
      </c>
      <c r="F1564" s="169" t="s">
        <v>770</v>
      </c>
      <c r="G1564" s="122" t="s">
        <v>770</v>
      </c>
      <c r="H1564" s="170">
        <v>1587157.8290000001</v>
      </c>
      <c r="I1564" s="168" t="s">
        <v>1200</v>
      </c>
      <c r="J1564" s="168" t="s">
        <v>770</v>
      </c>
      <c r="L1564" s="76"/>
    </row>
    <row r="1565" spans="2:12" ht="12" x14ac:dyDescent="0.15">
      <c r="B1565" s="121">
        <v>13</v>
      </c>
      <c r="C1565" s="167" t="s">
        <v>70</v>
      </c>
      <c r="D1565" s="168" t="s">
        <v>770</v>
      </c>
      <c r="E1565" s="168" t="s">
        <v>770</v>
      </c>
      <c r="F1565" s="169" t="s">
        <v>770</v>
      </c>
      <c r="G1565" s="122" t="s">
        <v>770</v>
      </c>
      <c r="H1565" s="170">
        <v>1184654.835</v>
      </c>
      <c r="I1565" s="168" t="s">
        <v>1200</v>
      </c>
      <c r="J1565" s="168" t="s">
        <v>770</v>
      </c>
      <c r="L1565" s="76"/>
    </row>
    <row r="1566" spans="2:12" ht="12" x14ac:dyDescent="0.15">
      <c r="B1566" s="121">
        <v>13</v>
      </c>
      <c r="C1566" s="167" t="s">
        <v>70</v>
      </c>
      <c r="D1566" s="168" t="s">
        <v>770</v>
      </c>
      <c r="E1566" s="168" t="s">
        <v>770</v>
      </c>
      <c r="F1566" s="169" t="s">
        <v>770</v>
      </c>
      <c r="G1566" s="122" t="s">
        <v>770</v>
      </c>
      <c r="H1566" s="170">
        <v>24401768.118999999</v>
      </c>
      <c r="I1566" s="168" t="s">
        <v>1200</v>
      </c>
      <c r="J1566" s="168" t="s">
        <v>770</v>
      </c>
      <c r="L1566" s="76"/>
    </row>
    <row r="1567" spans="2:12" ht="12" x14ac:dyDescent="0.15">
      <c r="B1567" s="121">
        <v>13</v>
      </c>
      <c r="C1567" s="167" t="s">
        <v>70</v>
      </c>
      <c r="D1567" s="168" t="s">
        <v>770</v>
      </c>
      <c r="E1567" s="168" t="s">
        <v>770</v>
      </c>
      <c r="F1567" s="169" t="s">
        <v>770</v>
      </c>
      <c r="G1567" s="122" t="s">
        <v>770</v>
      </c>
      <c r="H1567" s="170">
        <v>24401768.118999999</v>
      </c>
      <c r="I1567" s="168" t="s">
        <v>1200</v>
      </c>
      <c r="J1567" s="168" t="s">
        <v>770</v>
      </c>
      <c r="L1567" s="76"/>
    </row>
    <row r="1568" spans="2:12" ht="12" x14ac:dyDescent="0.15">
      <c r="B1568" s="121">
        <v>13</v>
      </c>
      <c r="C1568" s="167" t="s">
        <v>70</v>
      </c>
      <c r="D1568" s="168" t="s">
        <v>770</v>
      </c>
      <c r="E1568" s="168" t="s">
        <v>770</v>
      </c>
      <c r="F1568" s="169" t="s">
        <v>770</v>
      </c>
      <c r="G1568" s="122" t="s">
        <v>770</v>
      </c>
      <c r="H1568" s="170">
        <v>216005.44</v>
      </c>
      <c r="I1568" s="168" t="s">
        <v>1200</v>
      </c>
      <c r="J1568" s="168" t="s">
        <v>770</v>
      </c>
      <c r="L1568" s="76"/>
    </row>
    <row r="1569" spans="2:12" ht="12" x14ac:dyDescent="0.15">
      <c r="B1569" s="121">
        <v>13</v>
      </c>
      <c r="C1569" s="167" t="s">
        <v>70</v>
      </c>
      <c r="D1569" s="168" t="s">
        <v>770</v>
      </c>
      <c r="E1569" s="168" t="s">
        <v>770</v>
      </c>
      <c r="F1569" s="169" t="s">
        <v>770</v>
      </c>
      <c r="G1569" s="122" t="s">
        <v>770</v>
      </c>
      <c r="H1569" s="170">
        <v>1459290.3230000001</v>
      </c>
      <c r="I1569" s="168" t="s">
        <v>1200</v>
      </c>
      <c r="J1569" s="168" t="s">
        <v>770</v>
      </c>
      <c r="L1569" s="76"/>
    </row>
    <row r="1570" spans="2:12" ht="12" x14ac:dyDescent="0.15">
      <c r="B1570" s="121">
        <v>13</v>
      </c>
      <c r="C1570" s="167" t="s">
        <v>70</v>
      </c>
      <c r="D1570" s="168" t="s">
        <v>770</v>
      </c>
      <c r="E1570" s="168" t="s">
        <v>770</v>
      </c>
      <c r="F1570" s="169" t="s">
        <v>770</v>
      </c>
      <c r="G1570" s="122" t="s">
        <v>770</v>
      </c>
      <c r="H1570" s="170">
        <v>1008668.26</v>
      </c>
      <c r="I1570" s="168" t="s">
        <v>1200</v>
      </c>
      <c r="J1570" s="168" t="s">
        <v>770</v>
      </c>
      <c r="L1570" s="76"/>
    </row>
    <row r="1571" spans="2:12" ht="12" x14ac:dyDescent="0.15">
      <c r="B1571" s="121">
        <v>13</v>
      </c>
      <c r="C1571" s="167" t="s">
        <v>70</v>
      </c>
      <c r="D1571" s="168" t="s">
        <v>770</v>
      </c>
      <c r="E1571" s="168" t="s">
        <v>770</v>
      </c>
      <c r="F1571" s="169" t="s">
        <v>770</v>
      </c>
      <c r="G1571" s="122" t="s">
        <v>770</v>
      </c>
      <c r="H1571" s="170">
        <v>216005.44</v>
      </c>
      <c r="I1571" s="168" t="s">
        <v>1200</v>
      </c>
      <c r="J1571" s="168" t="s">
        <v>770</v>
      </c>
      <c r="L1571" s="76"/>
    </row>
    <row r="1572" spans="2:12" ht="12" x14ac:dyDescent="0.15">
      <c r="B1572" s="121">
        <v>13</v>
      </c>
      <c r="C1572" s="167" t="s">
        <v>70</v>
      </c>
      <c r="D1572" s="168" t="s">
        <v>770</v>
      </c>
      <c r="E1572" s="168" t="s">
        <v>770</v>
      </c>
      <c r="F1572" s="169" t="s">
        <v>770</v>
      </c>
      <c r="G1572" s="122" t="s">
        <v>770</v>
      </c>
      <c r="H1572" s="170">
        <v>1008668.26</v>
      </c>
      <c r="I1572" s="168" t="s">
        <v>1200</v>
      </c>
      <c r="J1572" s="168" t="s">
        <v>770</v>
      </c>
      <c r="L1572" s="76"/>
    </row>
    <row r="1573" spans="2:12" ht="12" x14ac:dyDescent="0.15">
      <c r="B1573" s="121">
        <v>13</v>
      </c>
      <c r="C1573" s="167" t="s">
        <v>70</v>
      </c>
      <c r="D1573" s="168" t="s">
        <v>770</v>
      </c>
      <c r="E1573" s="168" t="s">
        <v>770</v>
      </c>
      <c r="F1573" s="169" t="s">
        <v>770</v>
      </c>
      <c r="G1573" s="122" t="s">
        <v>770</v>
      </c>
      <c r="H1573" s="170">
        <v>1459290.3230000001</v>
      </c>
      <c r="I1573" s="168" t="s">
        <v>1200</v>
      </c>
      <c r="J1573" s="168" t="s">
        <v>770</v>
      </c>
      <c r="L1573" s="76"/>
    </row>
    <row r="1574" spans="2:12" ht="12" x14ac:dyDescent="0.15">
      <c r="B1574" s="121">
        <v>13</v>
      </c>
      <c r="C1574" s="167" t="s">
        <v>70</v>
      </c>
      <c r="D1574" s="168" t="s">
        <v>770</v>
      </c>
      <c r="E1574" s="168" t="s">
        <v>770</v>
      </c>
      <c r="F1574" s="169" t="s">
        <v>770</v>
      </c>
      <c r="G1574" s="122" t="s">
        <v>770</v>
      </c>
      <c r="H1574" s="170">
        <v>698064.00900000008</v>
      </c>
      <c r="I1574" s="168" t="s">
        <v>1200</v>
      </c>
      <c r="J1574" s="168" t="s">
        <v>770</v>
      </c>
      <c r="L1574" s="76"/>
    </row>
    <row r="1575" spans="2:12" ht="12" x14ac:dyDescent="0.15">
      <c r="B1575" s="121">
        <v>13</v>
      </c>
      <c r="C1575" s="167" t="s">
        <v>70</v>
      </c>
      <c r="D1575" s="168" t="s">
        <v>770</v>
      </c>
      <c r="E1575" s="168" t="s">
        <v>770</v>
      </c>
      <c r="F1575" s="169" t="s">
        <v>770</v>
      </c>
      <c r="G1575" s="122" t="s">
        <v>770</v>
      </c>
      <c r="H1575" s="170">
        <v>722461.05200000003</v>
      </c>
      <c r="I1575" s="168" t="s">
        <v>1200</v>
      </c>
      <c r="J1575" s="168" t="s">
        <v>770</v>
      </c>
      <c r="L1575" s="76"/>
    </row>
    <row r="1576" spans="2:12" ht="12" x14ac:dyDescent="0.15">
      <c r="B1576" s="121">
        <v>13</v>
      </c>
      <c r="C1576" s="167" t="s">
        <v>70</v>
      </c>
      <c r="D1576" s="168" t="s">
        <v>770</v>
      </c>
      <c r="E1576" s="168" t="s">
        <v>770</v>
      </c>
      <c r="F1576" s="169" t="s">
        <v>770</v>
      </c>
      <c r="G1576" s="122" t="s">
        <v>770</v>
      </c>
      <c r="H1576" s="170">
        <v>216005.44</v>
      </c>
      <c r="I1576" s="168" t="s">
        <v>1200</v>
      </c>
      <c r="J1576" s="168" t="s">
        <v>770</v>
      </c>
      <c r="L1576" s="76"/>
    </row>
    <row r="1577" spans="2:12" ht="12" x14ac:dyDescent="0.15">
      <c r="B1577" s="121">
        <v>13</v>
      </c>
      <c r="C1577" s="167" t="s">
        <v>70</v>
      </c>
      <c r="D1577" s="168" t="s">
        <v>770</v>
      </c>
      <c r="E1577" s="168" t="s">
        <v>770</v>
      </c>
      <c r="F1577" s="169" t="s">
        <v>770</v>
      </c>
      <c r="G1577" s="122" t="s">
        <v>770</v>
      </c>
      <c r="H1577" s="170">
        <v>1459290.3230000001</v>
      </c>
      <c r="I1577" s="168" t="s">
        <v>1200</v>
      </c>
      <c r="J1577" s="168" t="s">
        <v>770</v>
      </c>
      <c r="L1577" s="76"/>
    </row>
    <row r="1578" spans="2:12" ht="12" x14ac:dyDescent="0.15">
      <c r="B1578" s="121">
        <v>13</v>
      </c>
      <c r="C1578" s="167" t="s">
        <v>70</v>
      </c>
      <c r="D1578" s="168" t="s">
        <v>770</v>
      </c>
      <c r="E1578" s="168" t="s">
        <v>770</v>
      </c>
      <c r="F1578" s="169" t="s">
        <v>770</v>
      </c>
      <c r="G1578" s="122" t="s">
        <v>770</v>
      </c>
      <c r="H1578" s="170">
        <v>1008668.26</v>
      </c>
      <c r="I1578" s="168" t="s">
        <v>1200</v>
      </c>
      <c r="J1578" s="168" t="s">
        <v>770</v>
      </c>
      <c r="L1578" s="76"/>
    </row>
    <row r="1579" spans="2:12" ht="12" x14ac:dyDescent="0.15">
      <c r="B1579" s="121">
        <v>13</v>
      </c>
      <c r="C1579" s="167" t="s">
        <v>70</v>
      </c>
      <c r="D1579" s="168" t="s">
        <v>770</v>
      </c>
      <c r="E1579" s="168" t="s">
        <v>770</v>
      </c>
      <c r="F1579" s="169" t="s">
        <v>770</v>
      </c>
      <c r="G1579" s="122" t="s">
        <v>770</v>
      </c>
      <c r="H1579" s="170">
        <v>1795641.6510000001</v>
      </c>
      <c r="I1579" s="168" t="s">
        <v>1200</v>
      </c>
      <c r="J1579" s="168" t="s">
        <v>770</v>
      </c>
      <c r="L1579" s="76"/>
    </row>
    <row r="1580" spans="2:12" ht="12" x14ac:dyDescent="0.15">
      <c r="B1580" s="121">
        <v>13</v>
      </c>
      <c r="C1580" s="167" t="s">
        <v>70</v>
      </c>
      <c r="D1580" s="168" t="s">
        <v>770</v>
      </c>
      <c r="E1580" s="168" t="s">
        <v>770</v>
      </c>
      <c r="F1580" s="169" t="s">
        <v>770</v>
      </c>
      <c r="G1580" s="122" t="s">
        <v>770</v>
      </c>
      <c r="H1580" s="170">
        <v>62294.425999999999</v>
      </c>
      <c r="I1580" s="168" t="s">
        <v>1200</v>
      </c>
      <c r="J1580" s="168" t="s">
        <v>770</v>
      </c>
      <c r="L1580" s="76"/>
    </row>
    <row r="1581" spans="2:12" ht="12" x14ac:dyDescent="0.15">
      <c r="B1581" s="121">
        <v>13</v>
      </c>
      <c r="C1581" s="167" t="s">
        <v>70</v>
      </c>
      <c r="D1581" s="168" t="s">
        <v>770</v>
      </c>
      <c r="E1581" s="168" t="s">
        <v>770</v>
      </c>
      <c r="F1581" s="169" t="s">
        <v>770</v>
      </c>
      <c r="G1581" s="122" t="s">
        <v>770</v>
      </c>
      <c r="H1581" s="170">
        <v>216005.44</v>
      </c>
      <c r="I1581" s="168" t="s">
        <v>1200</v>
      </c>
      <c r="J1581" s="168" t="s">
        <v>770</v>
      </c>
      <c r="L1581" s="76"/>
    </row>
    <row r="1582" spans="2:12" ht="12" x14ac:dyDescent="0.15">
      <c r="B1582" s="121">
        <v>13</v>
      </c>
      <c r="C1582" s="167" t="s">
        <v>70</v>
      </c>
      <c r="D1582" s="168" t="s">
        <v>770</v>
      </c>
      <c r="E1582" s="168" t="s">
        <v>770</v>
      </c>
      <c r="F1582" s="169" t="s">
        <v>770</v>
      </c>
      <c r="G1582" s="122" t="s">
        <v>770</v>
      </c>
      <c r="H1582" s="170">
        <v>1448393.6199999999</v>
      </c>
      <c r="I1582" s="168" t="s">
        <v>1200</v>
      </c>
      <c r="J1582" s="168" t="s">
        <v>770</v>
      </c>
      <c r="L1582" s="76"/>
    </row>
    <row r="1583" spans="2:12" ht="12" x14ac:dyDescent="0.15">
      <c r="B1583" s="121">
        <v>13</v>
      </c>
      <c r="C1583" s="167" t="s">
        <v>70</v>
      </c>
      <c r="D1583" s="168" t="s">
        <v>770</v>
      </c>
      <c r="E1583" s="168" t="s">
        <v>770</v>
      </c>
      <c r="F1583" s="169" t="s">
        <v>770</v>
      </c>
      <c r="G1583" s="122" t="s">
        <v>770</v>
      </c>
      <c r="H1583" s="170">
        <v>1008668.26</v>
      </c>
      <c r="I1583" s="168" t="s">
        <v>1200</v>
      </c>
      <c r="J1583" s="168" t="s">
        <v>770</v>
      </c>
      <c r="L1583" s="76"/>
    </row>
    <row r="1584" spans="2:12" ht="12" x14ac:dyDescent="0.15">
      <c r="B1584" s="121">
        <v>13</v>
      </c>
      <c r="C1584" s="167" t="s">
        <v>70</v>
      </c>
      <c r="D1584" s="168" t="s">
        <v>770</v>
      </c>
      <c r="E1584" s="168" t="s">
        <v>770</v>
      </c>
      <c r="F1584" s="169" t="s">
        <v>770</v>
      </c>
      <c r="G1584" s="122" t="s">
        <v>770</v>
      </c>
      <c r="H1584" s="170">
        <v>216005.44</v>
      </c>
      <c r="I1584" s="168" t="s">
        <v>1200</v>
      </c>
      <c r="J1584" s="168" t="s">
        <v>770</v>
      </c>
      <c r="L1584" s="76"/>
    </row>
    <row r="1585" spans="2:12" ht="12" x14ac:dyDescent="0.15">
      <c r="B1585" s="121">
        <v>13</v>
      </c>
      <c r="C1585" s="167" t="s">
        <v>70</v>
      </c>
      <c r="D1585" s="168" t="s">
        <v>770</v>
      </c>
      <c r="E1585" s="168" t="s">
        <v>770</v>
      </c>
      <c r="F1585" s="169" t="s">
        <v>770</v>
      </c>
      <c r="G1585" s="122" t="s">
        <v>770</v>
      </c>
      <c r="H1585" s="170">
        <v>1448779.344</v>
      </c>
      <c r="I1585" s="168" t="s">
        <v>1200</v>
      </c>
      <c r="J1585" s="168" t="s">
        <v>770</v>
      </c>
      <c r="L1585" s="76"/>
    </row>
    <row r="1586" spans="2:12" ht="12" x14ac:dyDescent="0.15">
      <c r="B1586" s="121">
        <v>13</v>
      </c>
      <c r="C1586" s="167" t="s">
        <v>70</v>
      </c>
      <c r="D1586" s="168" t="s">
        <v>770</v>
      </c>
      <c r="E1586" s="168" t="s">
        <v>770</v>
      </c>
      <c r="F1586" s="169" t="s">
        <v>770</v>
      </c>
      <c r="G1586" s="122" t="s">
        <v>770</v>
      </c>
      <c r="H1586" s="170">
        <v>2326590.7370000002</v>
      </c>
      <c r="I1586" s="168" t="s">
        <v>1200</v>
      </c>
      <c r="J1586" s="168" t="s">
        <v>770</v>
      </c>
      <c r="L1586" s="76"/>
    </row>
    <row r="1587" spans="2:12" ht="12" x14ac:dyDescent="0.15">
      <c r="B1587" s="121">
        <v>13</v>
      </c>
      <c r="C1587" s="167" t="s">
        <v>70</v>
      </c>
      <c r="D1587" s="168" t="s">
        <v>770</v>
      </c>
      <c r="E1587" s="168" t="s">
        <v>770</v>
      </c>
      <c r="F1587" s="169" t="s">
        <v>770</v>
      </c>
      <c r="G1587" s="122" t="s">
        <v>770</v>
      </c>
      <c r="H1587" s="170">
        <v>598740.07900000003</v>
      </c>
      <c r="I1587" s="168" t="s">
        <v>1200</v>
      </c>
      <c r="J1587" s="168" t="s">
        <v>770</v>
      </c>
      <c r="L1587" s="76"/>
    </row>
    <row r="1588" spans="2:12" ht="12" x14ac:dyDescent="0.15">
      <c r="B1588" s="121">
        <v>13</v>
      </c>
      <c r="C1588" s="167" t="s">
        <v>70</v>
      </c>
      <c r="D1588" s="168" t="s">
        <v>770</v>
      </c>
      <c r="E1588" s="168" t="s">
        <v>770</v>
      </c>
      <c r="F1588" s="169" t="s">
        <v>770</v>
      </c>
      <c r="G1588" s="122" t="s">
        <v>770</v>
      </c>
      <c r="H1588" s="170">
        <v>206265.90900000001</v>
      </c>
      <c r="I1588" s="168" t="s">
        <v>1200</v>
      </c>
      <c r="J1588" s="168" t="s">
        <v>770</v>
      </c>
      <c r="L1588" s="76"/>
    </row>
    <row r="1589" spans="2:12" ht="12" x14ac:dyDescent="0.15">
      <c r="B1589" s="121">
        <v>13</v>
      </c>
      <c r="C1589" s="167" t="s">
        <v>70</v>
      </c>
      <c r="D1589" s="168" t="s">
        <v>770</v>
      </c>
      <c r="E1589" s="168" t="s">
        <v>770</v>
      </c>
      <c r="F1589" s="169" t="s">
        <v>770</v>
      </c>
      <c r="G1589" s="122" t="s">
        <v>770</v>
      </c>
      <c r="H1589" s="170">
        <v>1448779.344</v>
      </c>
      <c r="I1589" s="168" t="s">
        <v>1200</v>
      </c>
      <c r="J1589" s="168" t="s">
        <v>770</v>
      </c>
      <c r="L1589" s="76"/>
    </row>
    <row r="1590" spans="2:12" ht="12" x14ac:dyDescent="0.15">
      <c r="B1590" s="121">
        <v>13</v>
      </c>
      <c r="C1590" s="167" t="s">
        <v>70</v>
      </c>
      <c r="D1590" s="168" t="s">
        <v>770</v>
      </c>
      <c r="E1590" s="168" t="s">
        <v>770</v>
      </c>
      <c r="F1590" s="169" t="s">
        <v>770</v>
      </c>
      <c r="G1590" s="122" t="s">
        <v>770</v>
      </c>
      <c r="H1590" s="170">
        <v>1069130.497</v>
      </c>
      <c r="I1590" s="168" t="s">
        <v>1200</v>
      </c>
      <c r="J1590" s="168" t="s">
        <v>770</v>
      </c>
      <c r="L1590" s="76"/>
    </row>
    <row r="1591" spans="2:12" ht="12" x14ac:dyDescent="0.15">
      <c r="B1591" s="121">
        <v>13</v>
      </c>
      <c r="C1591" s="167" t="s">
        <v>70</v>
      </c>
      <c r="D1591" s="168" t="s">
        <v>770</v>
      </c>
      <c r="E1591" s="168" t="s">
        <v>770</v>
      </c>
      <c r="F1591" s="169" t="s">
        <v>770</v>
      </c>
      <c r="G1591" s="122" t="s">
        <v>770</v>
      </c>
      <c r="H1591" s="170">
        <v>1479733.6949999998</v>
      </c>
      <c r="I1591" s="168" t="s">
        <v>1200</v>
      </c>
      <c r="J1591" s="168" t="s">
        <v>770</v>
      </c>
      <c r="L1591" s="76"/>
    </row>
    <row r="1592" spans="2:12" ht="12" x14ac:dyDescent="0.15">
      <c r="B1592" s="121">
        <v>13</v>
      </c>
      <c r="C1592" s="167" t="s">
        <v>70</v>
      </c>
      <c r="D1592" s="168" t="s">
        <v>770</v>
      </c>
      <c r="E1592" s="168" t="s">
        <v>770</v>
      </c>
      <c r="F1592" s="169" t="s">
        <v>770</v>
      </c>
      <c r="G1592" s="122" t="s">
        <v>770</v>
      </c>
      <c r="H1592" s="170">
        <v>1069130.497</v>
      </c>
      <c r="I1592" s="168" t="s">
        <v>1200</v>
      </c>
      <c r="J1592" s="168" t="s">
        <v>770</v>
      </c>
      <c r="L1592" s="76"/>
    </row>
    <row r="1593" spans="2:12" ht="12" x14ac:dyDescent="0.15">
      <c r="B1593" s="121">
        <v>13</v>
      </c>
      <c r="C1593" s="167" t="s">
        <v>70</v>
      </c>
      <c r="D1593" s="168" t="s">
        <v>770</v>
      </c>
      <c r="E1593" s="168" t="s">
        <v>770</v>
      </c>
      <c r="F1593" s="169" t="s">
        <v>770</v>
      </c>
      <c r="G1593" s="122" t="s">
        <v>770</v>
      </c>
      <c r="H1593" s="170">
        <v>1448779.344</v>
      </c>
      <c r="I1593" s="168" t="s">
        <v>1200</v>
      </c>
      <c r="J1593" s="168" t="s">
        <v>770</v>
      </c>
      <c r="L1593" s="76"/>
    </row>
    <row r="1594" spans="2:12" ht="12" x14ac:dyDescent="0.15">
      <c r="B1594" s="121">
        <v>13</v>
      </c>
      <c r="C1594" s="167" t="s">
        <v>70</v>
      </c>
      <c r="D1594" s="168" t="s">
        <v>770</v>
      </c>
      <c r="E1594" s="168" t="s">
        <v>770</v>
      </c>
      <c r="F1594" s="169" t="s">
        <v>770</v>
      </c>
      <c r="G1594" s="122" t="s">
        <v>770</v>
      </c>
      <c r="H1594" s="170">
        <v>1022072.169</v>
      </c>
      <c r="I1594" s="168" t="s">
        <v>1200</v>
      </c>
      <c r="J1594" s="168" t="s">
        <v>770</v>
      </c>
      <c r="L1594" s="76"/>
    </row>
    <row r="1595" spans="2:12" ht="12" x14ac:dyDescent="0.15">
      <c r="B1595" s="121">
        <v>13</v>
      </c>
      <c r="C1595" s="167" t="s">
        <v>70</v>
      </c>
      <c r="D1595" s="168" t="s">
        <v>770</v>
      </c>
      <c r="E1595" s="168" t="s">
        <v>770</v>
      </c>
      <c r="F1595" s="169" t="s">
        <v>770</v>
      </c>
      <c r="G1595" s="122" t="s">
        <v>770</v>
      </c>
      <c r="H1595" s="170">
        <v>1448779.344</v>
      </c>
      <c r="I1595" s="168" t="s">
        <v>1200</v>
      </c>
      <c r="J1595" s="168" t="s">
        <v>770</v>
      </c>
      <c r="L1595" s="76"/>
    </row>
    <row r="1596" spans="2:12" ht="12" x14ac:dyDescent="0.15">
      <c r="B1596" s="121">
        <v>13</v>
      </c>
      <c r="C1596" s="167" t="s">
        <v>70</v>
      </c>
      <c r="D1596" s="168" t="s">
        <v>770</v>
      </c>
      <c r="E1596" s="168" t="s">
        <v>770</v>
      </c>
      <c r="F1596" s="169" t="s">
        <v>770</v>
      </c>
      <c r="G1596" s="122" t="s">
        <v>770</v>
      </c>
      <c r="H1596" s="170">
        <v>360459.07800000004</v>
      </c>
      <c r="I1596" s="168" t="s">
        <v>1200</v>
      </c>
      <c r="J1596" s="168" t="s">
        <v>770</v>
      </c>
      <c r="L1596" s="76"/>
    </row>
    <row r="1597" spans="2:12" ht="12" x14ac:dyDescent="0.15">
      <c r="B1597" s="121">
        <v>13</v>
      </c>
      <c r="C1597" s="167" t="s">
        <v>70</v>
      </c>
      <c r="D1597" s="168" t="s">
        <v>1251</v>
      </c>
      <c r="E1597" s="168" t="s">
        <v>770</v>
      </c>
      <c r="F1597" s="169" t="s">
        <v>770</v>
      </c>
      <c r="G1597" s="122" t="s">
        <v>770</v>
      </c>
      <c r="H1597" s="170">
        <v>1605769.0120000001</v>
      </c>
      <c r="I1597" s="168" t="s">
        <v>1200</v>
      </c>
      <c r="J1597" s="168" t="s">
        <v>770</v>
      </c>
      <c r="L1597" s="76"/>
    </row>
    <row r="1598" spans="2:12" ht="12" x14ac:dyDescent="0.15">
      <c r="B1598" s="121">
        <v>13</v>
      </c>
      <c r="C1598" s="167" t="s">
        <v>70</v>
      </c>
      <c r="D1598" s="168" t="s">
        <v>1251</v>
      </c>
      <c r="E1598" s="168" t="s">
        <v>770</v>
      </c>
      <c r="F1598" s="169" t="s">
        <v>770</v>
      </c>
      <c r="G1598" s="122" t="s">
        <v>770</v>
      </c>
      <c r="H1598" s="170">
        <v>2185994.3390000002</v>
      </c>
      <c r="I1598" s="168" t="s">
        <v>1200</v>
      </c>
      <c r="J1598" s="168" t="s">
        <v>770</v>
      </c>
      <c r="L1598" s="76"/>
    </row>
    <row r="1599" spans="2:12" ht="12" x14ac:dyDescent="0.15">
      <c r="B1599" s="121">
        <v>13</v>
      </c>
      <c r="C1599" s="167" t="s">
        <v>70</v>
      </c>
      <c r="D1599" s="168" t="s">
        <v>1251</v>
      </c>
      <c r="E1599" s="168" t="s">
        <v>770</v>
      </c>
      <c r="F1599" s="169" t="s">
        <v>770</v>
      </c>
      <c r="G1599" s="122" t="s">
        <v>770</v>
      </c>
      <c r="H1599" s="170">
        <v>146864.413</v>
      </c>
      <c r="I1599" s="168" t="s">
        <v>1200</v>
      </c>
      <c r="J1599" s="168" t="s">
        <v>770</v>
      </c>
      <c r="L1599" s="76"/>
    </row>
    <row r="1600" spans="2:12" ht="12" x14ac:dyDescent="0.15">
      <c r="B1600" s="121">
        <v>13</v>
      </c>
      <c r="C1600" s="167" t="s">
        <v>70</v>
      </c>
      <c r="D1600" s="168" t="s">
        <v>1251</v>
      </c>
      <c r="E1600" s="168" t="s">
        <v>770</v>
      </c>
      <c r="F1600" s="169" t="s">
        <v>770</v>
      </c>
      <c r="G1600" s="122" t="s">
        <v>770</v>
      </c>
      <c r="H1600" s="170">
        <v>1905283.6980000001</v>
      </c>
      <c r="I1600" s="168" t="s">
        <v>1200</v>
      </c>
      <c r="J1600" s="168" t="s">
        <v>770</v>
      </c>
      <c r="L1600" s="76"/>
    </row>
    <row r="1601" spans="2:12" ht="12" x14ac:dyDescent="0.15">
      <c r="B1601" s="121">
        <v>13</v>
      </c>
      <c r="C1601" s="167" t="s">
        <v>70</v>
      </c>
      <c r="D1601" s="168" t="s">
        <v>1251</v>
      </c>
      <c r="E1601" s="168" t="s">
        <v>770</v>
      </c>
      <c r="F1601" s="169" t="s">
        <v>770</v>
      </c>
      <c r="G1601" s="122" t="s">
        <v>770</v>
      </c>
      <c r="H1601" s="170">
        <v>483794.32700000005</v>
      </c>
      <c r="I1601" s="168" t="s">
        <v>1200</v>
      </c>
      <c r="J1601" s="168" t="s">
        <v>770</v>
      </c>
      <c r="L1601" s="76"/>
    </row>
    <row r="1602" spans="2:12" ht="12" x14ac:dyDescent="0.15">
      <c r="B1602" s="121">
        <v>13</v>
      </c>
      <c r="C1602" s="167" t="s">
        <v>70</v>
      </c>
      <c r="D1602" s="168" t="s">
        <v>1251</v>
      </c>
      <c r="E1602" s="168" t="s">
        <v>770</v>
      </c>
      <c r="F1602" s="169" t="s">
        <v>770</v>
      </c>
      <c r="G1602" s="122" t="s">
        <v>770</v>
      </c>
      <c r="H1602" s="170">
        <v>2171240.3960000002</v>
      </c>
      <c r="I1602" s="168" t="s">
        <v>1200</v>
      </c>
      <c r="J1602" s="168" t="s">
        <v>770</v>
      </c>
      <c r="L1602" s="76"/>
    </row>
    <row r="1603" spans="2:12" ht="12" x14ac:dyDescent="0.15">
      <c r="B1603" s="121">
        <v>13</v>
      </c>
      <c r="C1603" s="167" t="s">
        <v>70</v>
      </c>
      <c r="D1603" s="168" t="s">
        <v>1251</v>
      </c>
      <c r="E1603" s="168" t="s">
        <v>770</v>
      </c>
      <c r="F1603" s="169" t="s">
        <v>770</v>
      </c>
      <c r="G1603" s="122" t="s">
        <v>770</v>
      </c>
      <c r="H1603" s="170">
        <v>287460.81099999999</v>
      </c>
      <c r="I1603" s="168" t="s">
        <v>1200</v>
      </c>
      <c r="J1603" s="168" t="s">
        <v>770</v>
      </c>
      <c r="L1603" s="76"/>
    </row>
    <row r="1604" spans="2:12" ht="12" x14ac:dyDescent="0.15">
      <c r="B1604" s="121">
        <v>13</v>
      </c>
      <c r="C1604" s="167" t="s">
        <v>70</v>
      </c>
      <c r="D1604" s="168" t="s">
        <v>1251</v>
      </c>
      <c r="E1604" s="168" t="s">
        <v>770</v>
      </c>
      <c r="F1604" s="169" t="s">
        <v>770</v>
      </c>
      <c r="G1604" s="122" t="s">
        <v>770</v>
      </c>
      <c r="H1604" s="170">
        <v>844349.83600000001</v>
      </c>
      <c r="I1604" s="168" t="s">
        <v>1200</v>
      </c>
      <c r="J1604" s="168" t="s">
        <v>770</v>
      </c>
      <c r="L1604" s="76"/>
    </row>
    <row r="1605" spans="2:12" ht="12" x14ac:dyDescent="0.15">
      <c r="B1605" s="121">
        <v>13</v>
      </c>
      <c r="C1605" s="167" t="s">
        <v>70</v>
      </c>
      <c r="D1605" s="168" t="s">
        <v>1251</v>
      </c>
      <c r="E1605" s="168" t="s">
        <v>770</v>
      </c>
      <c r="F1605" s="169" t="s">
        <v>770</v>
      </c>
      <c r="G1605" s="122" t="s">
        <v>770</v>
      </c>
      <c r="H1605" s="170">
        <v>203372.97899999999</v>
      </c>
      <c r="I1605" s="168" t="s">
        <v>1200</v>
      </c>
      <c r="J1605" s="168" t="s">
        <v>770</v>
      </c>
      <c r="L1605" s="76"/>
    </row>
    <row r="1606" spans="2:12" ht="12" x14ac:dyDescent="0.15">
      <c r="B1606" s="121">
        <v>13</v>
      </c>
      <c r="C1606" s="167" t="s">
        <v>70</v>
      </c>
      <c r="D1606" s="168" t="s">
        <v>1251</v>
      </c>
      <c r="E1606" s="168" t="s">
        <v>770</v>
      </c>
      <c r="F1606" s="169" t="s">
        <v>770</v>
      </c>
      <c r="G1606" s="122" t="s">
        <v>770</v>
      </c>
      <c r="H1606" s="170">
        <v>519859.52100000001</v>
      </c>
      <c r="I1606" s="168" t="s">
        <v>1200</v>
      </c>
      <c r="J1606" s="168" t="s">
        <v>770</v>
      </c>
      <c r="L1606" s="76"/>
    </row>
    <row r="1607" spans="2:12" ht="12" x14ac:dyDescent="0.15">
      <c r="B1607" s="121">
        <v>13</v>
      </c>
      <c r="C1607" s="167" t="s">
        <v>70</v>
      </c>
      <c r="D1607" s="168" t="s">
        <v>1251</v>
      </c>
      <c r="E1607" s="168" t="s">
        <v>770</v>
      </c>
      <c r="F1607" s="169" t="s">
        <v>770</v>
      </c>
      <c r="G1607" s="122" t="s">
        <v>770</v>
      </c>
      <c r="H1607" s="170">
        <v>115620.769</v>
      </c>
      <c r="I1607" s="168" t="s">
        <v>1200</v>
      </c>
      <c r="J1607" s="168" t="s">
        <v>770</v>
      </c>
      <c r="L1607" s="76"/>
    </row>
    <row r="1608" spans="2:12" ht="12" x14ac:dyDescent="0.15">
      <c r="B1608" s="121">
        <v>13</v>
      </c>
      <c r="C1608" s="167" t="s">
        <v>70</v>
      </c>
      <c r="D1608" s="168" t="s">
        <v>1251</v>
      </c>
      <c r="E1608" s="168" t="s">
        <v>770</v>
      </c>
      <c r="F1608" s="169" t="s">
        <v>770</v>
      </c>
      <c r="G1608" s="122" t="s">
        <v>770</v>
      </c>
      <c r="H1608" s="170">
        <v>236063.08800000002</v>
      </c>
      <c r="I1608" s="168" t="s">
        <v>1200</v>
      </c>
      <c r="J1608" s="168" t="s">
        <v>770</v>
      </c>
      <c r="L1608" s="76"/>
    </row>
    <row r="1609" spans="2:12" ht="12" x14ac:dyDescent="0.15">
      <c r="B1609" s="121">
        <v>13</v>
      </c>
      <c r="C1609" s="167" t="s">
        <v>70</v>
      </c>
      <c r="D1609" s="168" t="s">
        <v>1251</v>
      </c>
      <c r="E1609" s="168" t="s">
        <v>770</v>
      </c>
      <c r="F1609" s="169" t="s">
        <v>770</v>
      </c>
      <c r="G1609" s="122" t="s">
        <v>770</v>
      </c>
      <c r="H1609" s="170">
        <v>236063.08800000002</v>
      </c>
      <c r="I1609" s="168" t="s">
        <v>1200</v>
      </c>
      <c r="J1609" s="168" t="s">
        <v>770</v>
      </c>
      <c r="L1609" s="76"/>
    </row>
    <row r="1610" spans="2:12" ht="12" x14ac:dyDescent="0.15">
      <c r="B1610" s="121">
        <v>13</v>
      </c>
      <c r="C1610" s="167" t="s">
        <v>70</v>
      </c>
      <c r="D1610" s="168" t="s">
        <v>1251</v>
      </c>
      <c r="E1610" s="168" t="s">
        <v>770</v>
      </c>
      <c r="F1610" s="169" t="s">
        <v>770</v>
      </c>
      <c r="G1610" s="122" t="s">
        <v>770</v>
      </c>
      <c r="H1610" s="170">
        <v>236063.08800000002</v>
      </c>
      <c r="I1610" s="168" t="s">
        <v>1200</v>
      </c>
      <c r="J1610" s="168" t="s">
        <v>770</v>
      </c>
      <c r="L1610" s="76"/>
    </row>
    <row r="1611" spans="2:12" ht="12" x14ac:dyDescent="0.15">
      <c r="B1611" s="121">
        <v>13</v>
      </c>
      <c r="C1611" s="167" t="s">
        <v>70</v>
      </c>
      <c r="D1611" s="168" t="s">
        <v>1251</v>
      </c>
      <c r="E1611" s="168" t="s">
        <v>770</v>
      </c>
      <c r="F1611" s="169" t="s">
        <v>770</v>
      </c>
      <c r="G1611" s="122" t="s">
        <v>770</v>
      </c>
      <c r="H1611" s="170">
        <v>574150.174</v>
      </c>
      <c r="I1611" s="168" t="s">
        <v>1200</v>
      </c>
      <c r="J1611" s="168" t="s">
        <v>770</v>
      </c>
      <c r="L1611" s="76"/>
    </row>
    <row r="1612" spans="2:12" ht="12" x14ac:dyDescent="0.15">
      <c r="B1612" s="121">
        <v>13</v>
      </c>
      <c r="C1612" s="167" t="s">
        <v>70</v>
      </c>
      <c r="D1612" s="168" t="s">
        <v>1251</v>
      </c>
      <c r="E1612" s="168" t="s">
        <v>770</v>
      </c>
      <c r="F1612" s="169" t="s">
        <v>770</v>
      </c>
      <c r="G1612" s="122" t="s">
        <v>770</v>
      </c>
      <c r="H1612" s="170">
        <v>1202687.432</v>
      </c>
      <c r="I1612" s="168" t="s">
        <v>1200</v>
      </c>
      <c r="J1612" s="168" t="s">
        <v>770</v>
      </c>
      <c r="L1612" s="76"/>
    </row>
    <row r="1613" spans="2:12" ht="12" x14ac:dyDescent="0.15">
      <c r="B1613" s="121">
        <v>13</v>
      </c>
      <c r="C1613" s="167" t="s">
        <v>70</v>
      </c>
      <c r="D1613" s="168" t="s">
        <v>1251</v>
      </c>
      <c r="E1613" s="168" t="s">
        <v>770</v>
      </c>
      <c r="F1613" s="169" t="s">
        <v>770</v>
      </c>
      <c r="G1613" s="122" t="s">
        <v>770</v>
      </c>
      <c r="H1613" s="170">
        <v>192090.55200000003</v>
      </c>
      <c r="I1613" s="168" t="s">
        <v>1200</v>
      </c>
      <c r="J1613" s="168" t="s">
        <v>770</v>
      </c>
      <c r="L1613" s="76"/>
    </row>
    <row r="1614" spans="2:12" ht="12" x14ac:dyDescent="0.15">
      <c r="B1614" s="121">
        <v>13</v>
      </c>
      <c r="C1614" s="167" t="s">
        <v>70</v>
      </c>
      <c r="D1614" s="168" t="s">
        <v>1251</v>
      </c>
      <c r="E1614" s="168" t="s">
        <v>770</v>
      </c>
      <c r="F1614" s="169" t="s">
        <v>770</v>
      </c>
      <c r="G1614" s="122" t="s">
        <v>770</v>
      </c>
      <c r="H1614" s="170">
        <v>1048976.4180000001</v>
      </c>
      <c r="I1614" s="168" t="s">
        <v>1200</v>
      </c>
      <c r="J1614" s="168" t="s">
        <v>770</v>
      </c>
      <c r="L1614" s="76"/>
    </row>
    <row r="1615" spans="2:12" ht="12" x14ac:dyDescent="0.15">
      <c r="B1615" s="121">
        <v>13</v>
      </c>
      <c r="C1615" s="167" t="s">
        <v>70</v>
      </c>
      <c r="D1615" s="168" t="s">
        <v>1251</v>
      </c>
      <c r="E1615" s="168" t="s">
        <v>770</v>
      </c>
      <c r="F1615" s="169" t="s">
        <v>770</v>
      </c>
      <c r="G1615" s="122" t="s">
        <v>770</v>
      </c>
      <c r="H1615" s="170">
        <v>797387.93900000001</v>
      </c>
      <c r="I1615" s="168" t="s">
        <v>1200</v>
      </c>
      <c r="J1615" s="168" t="s">
        <v>770</v>
      </c>
      <c r="L1615" s="76"/>
    </row>
    <row r="1616" spans="2:12" ht="12" x14ac:dyDescent="0.15">
      <c r="B1616" s="121">
        <v>13</v>
      </c>
      <c r="C1616" s="167" t="s">
        <v>70</v>
      </c>
      <c r="D1616" s="168" t="s">
        <v>1251</v>
      </c>
      <c r="E1616" s="168" t="s">
        <v>770</v>
      </c>
      <c r="F1616" s="169" t="s">
        <v>770</v>
      </c>
      <c r="G1616" s="122" t="s">
        <v>770</v>
      </c>
      <c r="H1616" s="170">
        <v>715518.02</v>
      </c>
      <c r="I1616" s="168" t="s">
        <v>1200</v>
      </c>
      <c r="J1616" s="168" t="s">
        <v>770</v>
      </c>
      <c r="L1616" s="76"/>
    </row>
    <row r="1617" spans="2:12" ht="12" x14ac:dyDescent="0.15">
      <c r="B1617" s="121">
        <v>13</v>
      </c>
      <c r="C1617" s="167" t="s">
        <v>70</v>
      </c>
      <c r="D1617" s="168" t="s">
        <v>1251</v>
      </c>
      <c r="E1617" s="168" t="s">
        <v>770</v>
      </c>
      <c r="F1617" s="169" t="s">
        <v>770</v>
      </c>
      <c r="G1617" s="122" t="s">
        <v>770</v>
      </c>
      <c r="H1617" s="170">
        <v>807513.19400000002</v>
      </c>
      <c r="I1617" s="168" t="s">
        <v>1200</v>
      </c>
      <c r="J1617" s="168" t="s">
        <v>770</v>
      </c>
      <c r="L1617" s="76"/>
    </row>
    <row r="1618" spans="2:12" ht="12" x14ac:dyDescent="0.15">
      <c r="B1618" s="121">
        <v>13</v>
      </c>
      <c r="C1618" s="167" t="s">
        <v>70</v>
      </c>
      <c r="D1618" s="168" t="s">
        <v>1251</v>
      </c>
      <c r="E1618" s="168" t="s">
        <v>770</v>
      </c>
      <c r="F1618" s="169" t="s">
        <v>770</v>
      </c>
      <c r="G1618" s="122" t="s">
        <v>770</v>
      </c>
      <c r="H1618" s="170">
        <v>224587.799</v>
      </c>
      <c r="I1618" s="168" t="s">
        <v>1200</v>
      </c>
      <c r="J1618" s="168" t="s">
        <v>770</v>
      </c>
      <c r="L1618" s="76"/>
    </row>
    <row r="1619" spans="2:12" ht="12" x14ac:dyDescent="0.15">
      <c r="B1619" s="121">
        <v>13</v>
      </c>
      <c r="C1619" s="167" t="s">
        <v>70</v>
      </c>
      <c r="D1619" s="168" t="s">
        <v>1251</v>
      </c>
      <c r="E1619" s="168" t="s">
        <v>770</v>
      </c>
      <c r="F1619" s="169" t="s">
        <v>770</v>
      </c>
      <c r="G1619" s="122" t="s">
        <v>770</v>
      </c>
      <c r="H1619" s="170">
        <v>645798.40700000001</v>
      </c>
      <c r="I1619" s="168" t="s">
        <v>1200</v>
      </c>
      <c r="J1619" s="168" t="s">
        <v>770</v>
      </c>
      <c r="L1619" s="76"/>
    </row>
    <row r="1620" spans="2:12" ht="12" x14ac:dyDescent="0.15">
      <c r="B1620" s="121">
        <v>13</v>
      </c>
      <c r="C1620" s="167" t="s">
        <v>70</v>
      </c>
      <c r="D1620" s="168" t="s">
        <v>1251</v>
      </c>
      <c r="E1620" s="168" t="s">
        <v>770</v>
      </c>
      <c r="F1620" s="169" t="s">
        <v>770</v>
      </c>
      <c r="G1620" s="122" t="s">
        <v>770</v>
      </c>
      <c r="H1620" s="170">
        <v>3027547.676</v>
      </c>
      <c r="I1620" s="168" t="s">
        <v>1200</v>
      </c>
      <c r="J1620" s="168" t="s">
        <v>770</v>
      </c>
      <c r="L1620" s="76"/>
    </row>
    <row r="1621" spans="2:12" ht="12" x14ac:dyDescent="0.15">
      <c r="B1621" s="121">
        <v>13</v>
      </c>
      <c r="C1621" s="167" t="s">
        <v>70</v>
      </c>
      <c r="D1621" s="168" t="s">
        <v>1251</v>
      </c>
      <c r="E1621" s="168" t="s">
        <v>770</v>
      </c>
      <c r="F1621" s="169" t="s">
        <v>770</v>
      </c>
      <c r="G1621" s="122" t="s">
        <v>770</v>
      </c>
      <c r="H1621" s="170">
        <v>388809.79200000002</v>
      </c>
      <c r="I1621" s="168" t="s">
        <v>1200</v>
      </c>
      <c r="J1621" s="168" t="s">
        <v>770</v>
      </c>
      <c r="L1621" s="76"/>
    </row>
    <row r="1622" spans="2:12" ht="12" x14ac:dyDescent="0.15">
      <c r="B1622" s="121">
        <v>13</v>
      </c>
      <c r="C1622" s="167" t="s">
        <v>70</v>
      </c>
      <c r="D1622" s="168" t="s">
        <v>1251</v>
      </c>
      <c r="E1622" s="168" t="s">
        <v>770</v>
      </c>
      <c r="F1622" s="169" t="s">
        <v>770</v>
      </c>
      <c r="G1622" s="122" t="s">
        <v>770</v>
      </c>
      <c r="H1622" s="170">
        <v>738275.73600000003</v>
      </c>
      <c r="I1622" s="168" t="s">
        <v>1200</v>
      </c>
      <c r="J1622" s="168" t="s">
        <v>770</v>
      </c>
      <c r="L1622" s="76"/>
    </row>
    <row r="1623" spans="2:12" ht="12" x14ac:dyDescent="0.15">
      <c r="B1623" s="121">
        <v>13</v>
      </c>
      <c r="C1623" s="167" t="s">
        <v>70</v>
      </c>
      <c r="D1623" s="168" t="s">
        <v>1251</v>
      </c>
      <c r="E1623" s="168" t="s">
        <v>770</v>
      </c>
      <c r="F1623" s="169" t="s">
        <v>770</v>
      </c>
      <c r="G1623" s="122" t="s">
        <v>770</v>
      </c>
      <c r="H1623" s="170">
        <v>2863904.2690000003</v>
      </c>
      <c r="I1623" s="168" t="s">
        <v>1200</v>
      </c>
      <c r="J1623" s="168" t="s">
        <v>770</v>
      </c>
      <c r="L1623" s="76"/>
    </row>
    <row r="1624" spans="2:12" ht="12" x14ac:dyDescent="0.15">
      <c r="B1624" s="121">
        <v>13</v>
      </c>
      <c r="C1624" s="167" t="s">
        <v>70</v>
      </c>
      <c r="D1624" s="168" t="s">
        <v>1251</v>
      </c>
      <c r="E1624" s="168" t="s">
        <v>770</v>
      </c>
      <c r="F1624" s="169" t="s">
        <v>770</v>
      </c>
      <c r="G1624" s="122" t="s">
        <v>770</v>
      </c>
      <c r="H1624" s="170">
        <v>608093.88600000006</v>
      </c>
      <c r="I1624" s="168" t="s">
        <v>1200</v>
      </c>
      <c r="J1624" s="168" t="s">
        <v>770</v>
      </c>
      <c r="L1624" s="76"/>
    </row>
    <row r="1625" spans="2:12" ht="12" x14ac:dyDescent="0.15">
      <c r="B1625" s="121">
        <v>13</v>
      </c>
      <c r="C1625" s="167" t="s">
        <v>70</v>
      </c>
      <c r="D1625" s="168" t="s">
        <v>1251</v>
      </c>
      <c r="E1625" s="168" t="s">
        <v>770</v>
      </c>
      <c r="F1625" s="169" t="s">
        <v>770</v>
      </c>
      <c r="G1625" s="122" t="s">
        <v>770</v>
      </c>
      <c r="H1625" s="170">
        <v>1130460.6130000001</v>
      </c>
      <c r="I1625" s="168" t="s">
        <v>1200</v>
      </c>
      <c r="J1625" s="168" t="s">
        <v>770</v>
      </c>
      <c r="L1625" s="76"/>
    </row>
    <row r="1626" spans="2:12" ht="12" x14ac:dyDescent="0.15">
      <c r="B1626" s="121">
        <v>13</v>
      </c>
      <c r="C1626" s="167" t="s">
        <v>70</v>
      </c>
      <c r="D1626" s="168" t="s">
        <v>1251</v>
      </c>
      <c r="E1626" s="168" t="s">
        <v>770</v>
      </c>
      <c r="F1626" s="169" t="s">
        <v>770</v>
      </c>
      <c r="G1626" s="122" t="s">
        <v>770</v>
      </c>
      <c r="H1626" s="170">
        <v>750136.74900000007</v>
      </c>
      <c r="I1626" s="168" t="s">
        <v>1200</v>
      </c>
      <c r="J1626" s="168" t="s">
        <v>770</v>
      </c>
      <c r="L1626" s="76"/>
    </row>
    <row r="1627" spans="2:12" ht="12" x14ac:dyDescent="0.15">
      <c r="B1627" s="121">
        <v>13</v>
      </c>
      <c r="C1627" s="167" t="s">
        <v>70</v>
      </c>
      <c r="D1627" s="168" t="s">
        <v>1251</v>
      </c>
      <c r="E1627" s="168" t="s">
        <v>770</v>
      </c>
      <c r="F1627" s="169" t="s">
        <v>770</v>
      </c>
      <c r="G1627" s="122" t="s">
        <v>770</v>
      </c>
      <c r="H1627" s="170">
        <v>1417053.5449999999</v>
      </c>
      <c r="I1627" s="168" t="s">
        <v>1200</v>
      </c>
      <c r="J1627" s="168" t="s">
        <v>770</v>
      </c>
      <c r="L1627" s="76"/>
    </row>
    <row r="1628" spans="2:12" ht="12" x14ac:dyDescent="0.15">
      <c r="B1628" s="121">
        <v>13</v>
      </c>
      <c r="C1628" s="167" t="s">
        <v>70</v>
      </c>
      <c r="D1628" s="168" t="s">
        <v>1251</v>
      </c>
      <c r="E1628" s="168" t="s">
        <v>770</v>
      </c>
      <c r="F1628" s="169" t="s">
        <v>770</v>
      </c>
      <c r="G1628" s="122" t="s">
        <v>770</v>
      </c>
      <c r="H1628" s="170">
        <v>1594872.3089999999</v>
      </c>
      <c r="I1628" s="168" t="s">
        <v>1200</v>
      </c>
      <c r="J1628" s="168" t="s">
        <v>770</v>
      </c>
      <c r="L1628" s="76"/>
    </row>
    <row r="1629" spans="2:12" ht="12" x14ac:dyDescent="0.15">
      <c r="B1629" s="121">
        <v>13</v>
      </c>
      <c r="C1629" s="167" t="s">
        <v>70</v>
      </c>
      <c r="D1629" s="168" t="s">
        <v>1251</v>
      </c>
      <c r="E1629" s="168" t="s">
        <v>770</v>
      </c>
      <c r="F1629" s="169" t="s">
        <v>770</v>
      </c>
      <c r="G1629" s="122" t="s">
        <v>770</v>
      </c>
      <c r="H1629" s="170">
        <v>986585.5610000001</v>
      </c>
      <c r="I1629" s="168" t="s">
        <v>1200</v>
      </c>
      <c r="J1629" s="168" t="s">
        <v>770</v>
      </c>
      <c r="L1629" s="76"/>
    </row>
    <row r="1630" spans="2:12" ht="12" x14ac:dyDescent="0.15">
      <c r="B1630" s="121">
        <v>13</v>
      </c>
      <c r="C1630" s="167" t="s">
        <v>70</v>
      </c>
      <c r="D1630" s="168" t="s">
        <v>1251</v>
      </c>
      <c r="E1630" s="168" t="s">
        <v>770</v>
      </c>
      <c r="F1630" s="169" t="s">
        <v>770</v>
      </c>
      <c r="G1630" s="122" t="s">
        <v>770</v>
      </c>
      <c r="H1630" s="170">
        <v>1151675.4330000002</v>
      </c>
      <c r="I1630" s="168" t="s">
        <v>1200</v>
      </c>
      <c r="J1630" s="168" t="s">
        <v>770</v>
      </c>
      <c r="L1630" s="76"/>
    </row>
    <row r="1631" spans="2:12" ht="12" x14ac:dyDescent="0.15">
      <c r="B1631" s="121">
        <v>13</v>
      </c>
      <c r="C1631" s="167" t="s">
        <v>70</v>
      </c>
      <c r="D1631" s="168" t="s">
        <v>1251</v>
      </c>
      <c r="E1631" s="168" t="s">
        <v>770</v>
      </c>
      <c r="F1631" s="169" t="s">
        <v>770</v>
      </c>
      <c r="G1631" s="122" t="s">
        <v>770</v>
      </c>
      <c r="H1631" s="170">
        <v>1048879.987</v>
      </c>
      <c r="I1631" s="168" t="s">
        <v>1200</v>
      </c>
      <c r="J1631" s="168" t="s">
        <v>770</v>
      </c>
      <c r="L1631" s="76"/>
    </row>
    <row r="1632" spans="2:12" ht="12" x14ac:dyDescent="0.15">
      <c r="B1632" s="121">
        <v>13</v>
      </c>
      <c r="C1632" s="167" t="s">
        <v>70</v>
      </c>
      <c r="D1632" s="168" t="s">
        <v>1251</v>
      </c>
      <c r="E1632" s="168" t="s">
        <v>770</v>
      </c>
      <c r="F1632" s="169" t="s">
        <v>770</v>
      </c>
      <c r="G1632" s="122" t="s">
        <v>770</v>
      </c>
      <c r="H1632" s="170">
        <v>746665.23300000012</v>
      </c>
      <c r="I1632" s="168" t="s">
        <v>1200</v>
      </c>
      <c r="J1632" s="168" t="s">
        <v>770</v>
      </c>
      <c r="L1632" s="76"/>
    </row>
    <row r="1633" spans="2:12" ht="12" x14ac:dyDescent="0.15">
      <c r="B1633" s="121">
        <v>13</v>
      </c>
      <c r="C1633" s="167" t="s">
        <v>70</v>
      </c>
      <c r="D1633" s="168" t="s">
        <v>1251</v>
      </c>
      <c r="E1633" s="168" t="s">
        <v>770</v>
      </c>
      <c r="F1633" s="169" t="s">
        <v>770</v>
      </c>
      <c r="G1633" s="122" t="s">
        <v>770</v>
      </c>
      <c r="H1633" s="170">
        <v>316679.40400000004</v>
      </c>
      <c r="I1633" s="168" t="s">
        <v>1200</v>
      </c>
      <c r="J1633" s="168" t="s">
        <v>770</v>
      </c>
      <c r="L1633" s="76"/>
    </row>
    <row r="1634" spans="2:12" ht="12" x14ac:dyDescent="0.15">
      <c r="B1634" s="121">
        <v>13</v>
      </c>
      <c r="C1634" s="167" t="s">
        <v>70</v>
      </c>
      <c r="D1634" s="168" t="s">
        <v>1251</v>
      </c>
      <c r="E1634" s="168" t="s">
        <v>770</v>
      </c>
      <c r="F1634" s="169" t="s">
        <v>770</v>
      </c>
      <c r="G1634" s="122" t="s">
        <v>770</v>
      </c>
      <c r="H1634" s="170">
        <v>114560.02800000001</v>
      </c>
      <c r="I1634" s="168" t="s">
        <v>1200</v>
      </c>
      <c r="J1634" s="168" t="s">
        <v>770</v>
      </c>
      <c r="L1634" s="76"/>
    </row>
    <row r="1635" spans="2:12" ht="12" x14ac:dyDescent="0.15">
      <c r="B1635" s="121">
        <v>13</v>
      </c>
      <c r="C1635" s="167" t="s">
        <v>70</v>
      </c>
      <c r="D1635" s="168" t="s">
        <v>1251</v>
      </c>
      <c r="E1635" s="168" t="s">
        <v>770</v>
      </c>
      <c r="F1635" s="169" t="s">
        <v>770</v>
      </c>
      <c r="G1635" s="122" t="s">
        <v>770</v>
      </c>
      <c r="H1635" s="170">
        <v>158532.56400000001</v>
      </c>
      <c r="I1635" s="168" t="s">
        <v>1200</v>
      </c>
      <c r="J1635" s="168" t="s">
        <v>770</v>
      </c>
      <c r="L1635" s="76"/>
    </row>
    <row r="1636" spans="2:12" ht="12" x14ac:dyDescent="0.15">
      <c r="B1636" s="121">
        <v>13</v>
      </c>
      <c r="C1636" s="167" t="s">
        <v>70</v>
      </c>
      <c r="D1636" s="168" t="s">
        <v>1251</v>
      </c>
      <c r="E1636" s="168" t="s">
        <v>770</v>
      </c>
      <c r="F1636" s="169" t="s">
        <v>770</v>
      </c>
      <c r="G1636" s="122" t="s">
        <v>770</v>
      </c>
      <c r="H1636" s="170">
        <v>4590694.1859999998</v>
      </c>
      <c r="I1636" s="168" t="s">
        <v>1200</v>
      </c>
      <c r="J1636" s="168" t="s">
        <v>770</v>
      </c>
      <c r="L1636" s="76"/>
    </row>
    <row r="1637" spans="2:12" ht="12" x14ac:dyDescent="0.15">
      <c r="B1637" s="121">
        <v>13</v>
      </c>
      <c r="C1637" s="167" t="s">
        <v>70</v>
      </c>
      <c r="D1637" s="168" t="s">
        <v>1251</v>
      </c>
      <c r="E1637" s="168" t="s">
        <v>770</v>
      </c>
      <c r="F1637" s="169" t="s">
        <v>770</v>
      </c>
      <c r="G1637" s="122" t="s">
        <v>770</v>
      </c>
      <c r="H1637" s="170">
        <v>446186.23700000002</v>
      </c>
      <c r="I1637" s="168" t="s">
        <v>1200</v>
      </c>
      <c r="J1637" s="168" t="s">
        <v>770</v>
      </c>
      <c r="L1637" s="76"/>
    </row>
    <row r="1638" spans="2:12" ht="12" x14ac:dyDescent="0.15">
      <c r="B1638" s="121">
        <v>13</v>
      </c>
      <c r="C1638" s="167" t="s">
        <v>70</v>
      </c>
      <c r="D1638" s="168" t="s">
        <v>1251</v>
      </c>
      <c r="E1638" s="168" t="s">
        <v>770</v>
      </c>
      <c r="F1638" s="169" t="s">
        <v>770</v>
      </c>
      <c r="G1638" s="122" t="s">
        <v>770</v>
      </c>
      <c r="H1638" s="170">
        <v>161714.78700000001</v>
      </c>
      <c r="I1638" s="168" t="s">
        <v>1200</v>
      </c>
      <c r="J1638" s="168" t="s">
        <v>770</v>
      </c>
      <c r="L1638" s="76"/>
    </row>
    <row r="1639" spans="2:12" ht="12" x14ac:dyDescent="0.15">
      <c r="B1639" s="121">
        <v>13</v>
      </c>
      <c r="C1639" s="167" t="s">
        <v>70</v>
      </c>
      <c r="D1639" s="168" t="s">
        <v>1251</v>
      </c>
      <c r="E1639" s="168" t="s">
        <v>770</v>
      </c>
      <c r="F1639" s="169" t="s">
        <v>770</v>
      </c>
      <c r="G1639" s="122" t="s">
        <v>770</v>
      </c>
      <c r="H1639" s="170">
        <v>305879.13199999998</v>
      </c>
      <c r="I1639" s="168" t="s">
        <v>1200</v>
      </c>
      <c r="J1639" s="168" t="s">
        <v>770</v>
      </c>
      <c r="L1639" s="76"/>
    </row>
    <row r="1640" spans="2:12" ht="12" x14ac:dyDescent="0.15">
      <c r="B1640" s="121">
        <v>13</v>
      </c>
      <c r="C1640" s="167" t="s">
        <v>70</v>
      </c>
      <c r="D1640" s="168" t="s">
        <v>1251</v>
      </c>
      <c r="E1640" s="168" t="s">
        <v>770</v>
      </c>
      <c r="F1640" s="169" t="s">
        <v>770</v>
      </c>
      <c r="G1640" s="122" t="s">
        <v>770</v>
      </c>
      <c r="H1640" s="170">
        <v>1315897.4260000002</v>
      </c>
      <c r="I1640" s="168" t="s">
        <v>1200</v>
      </c>
      <c r="J1640" s="168" t="s">
        <v>770</v>
      </c>
      <c r="L1640" s="76"/>
    </row>
    <row r="1641" spans="2:12" ht="12" x14ac:dyDescent="0.15">
      <c r="B1641" s="121">
        <v>13</v>
      </c>
      <c r="C1641" s="167" t="s">
        <v>70</v>
      </c>
      <c r="D1641" s="168" t="s">
        <v>1251</v>
      </c>
      <c r="E1641" s="168" t="s">
        <v>770</v>
      </c>
      <c r="F1641" s="169" t="s">
        <v>770</v>
      </c>
      <c r="G1641" s="122" t="s">
        <v>770</v>
      </c>
      <c r="H1641" s="170">
        <v>129410.402</v>
      </c>
      <c r="I1641" s="168" t="s">
        <v>1200</v>
      </c>
      <c r="J1641" s="168" t="s">
        <v>770</v>
      </c>
      <c r="L1641" s="76"/>
    </row>
    <row r="1642" spans="2:12" ht="12" x14ac:dyDescent="0.15">
      <c r="B1642" s="121">
        <v>13</v>
      </c>
      <c r="C1642" s="167" t="s">
        <v>70</v>
      </c>
      <c r="D1642" s="168" t="s">
        <v>1251</v>
      </c>
      <c r="E1642" s="168" t="s">
        <v>770</v>
      </c>
      <c r="F1642" s="169" t="s">
        <v>770</v>
      </c>
      <c r="G1642" s="122" t="s">
        <v>770</v>
      </c>
      <c r="H1642" s="170">
        <v>1315897.4260000002</v>
      </c>
      <c r="I1642" s="168" t="s">
        <v>1200</v>
      </c>
      <c r="J1642" s="168" t="s">
        <v>770</v>
      </c>
      <c r="L1642" s="76"/>
    </row>
    <row r="1643" spans="2:12" ht="12" x14ac:dyDescent="0.15">
      <c r="B1643" s="121">
        <v>13</v>
      </c>
      <c r="C1643" s="167" t="s">
        <v>70</v>
      </c>
      <c r="D1643" s="168" t="s">
        <v>1251</v>
      </c>
      <c r="E1643" s="168" t="s">
        <v>770</v>
      </c>
      <c r="F1643" s="169" t="s">
        <v>770</v>
      </c>
      <c r="G1643" s="122" t="s">
        <v>770</v>
      </c>
      <c r="H1643" s="170">
        <v>715518.02</v>
      </c>
      <c r="I1643" s="168" t="s">
        <v>1200</v>
      </c>
      <c r="J1643" s="168" t="s">
        <v>770</v>
      </c>
      <c r="L1643" s="76"/>
    </row>
    <row r="1644" spans="2:12" ht="12" x14ac:dyDescent="0.15">
      <c r="B1644" s="121">
        <v>13</v>
      </c>
      <c r="C1644" s="167" t="s">
        <v>70</v>
      </c>
      <c r="D1644" s="168" t="s">
        <v>1251</v>
      </c>
      <c r="E1644" s="168" t="s">
        <v>770</v>
      </c>
      <c r="F1644" s="169" t="s">
        <v>770</v>
      </c>
      <c r="G1644" s="122" t="s">
        <v>770</v>
      </c>
      <c r="H1644" s="170">
        <v>45322.570000000007</v>
      </c>
      <c r="I1644" s="168" t="s">
        <v>1200</v>
      </c>
      <c r="J1644" s="168" t="s">
        <v>770</v>
      </c>
      <c r="L1644" s="76"/>
    </row>
    <row r="1645" spans="2:12" ht="12" x14ac:dyDescent="0.15">
      <c r="B1645" s="121">
        <v>13</v>
      </c>
      <c r="C1645" s="167" t="s">
        <v>70</v>
      </c>
      <c r="D1645" s="168" t="s">
        <v>1251</v>
      </c>
      <c r="E1645" s="168" t="s">
        <v>770</v>
      </c>
      <c r="F1645" s="169" t="s">
        <v>770</v>
      </c>
      <c r="G1645" s="122" t="s">
        <v>770</v>
      </c>
      <c r="H1645" s="170">
        <v>3015493.801</v>
      </c>
      <c r="I1645" s="168" t="s">
        <v>1200</v>
      </c>
      <c r="J1645" s="168" t="s">
        <v>770</v>
      </c>
      <c r="L1645" s="76"/>
    </row>
    <row r="1646" spans="2:12" ht="12" x14ac:dyDescent="0.15">
      <c r="B1646" s="121">
        <v>13</v>
      </c>
      <c r="C1646" s="167" t="s">
        <v>70</v>
      </c>
      <c r="D1646" s="168" t="s">
        <v>1251</v>
      </c>
      <c r="E1646" s="168" t="s">
        <v>770</v>
      </c>
      <c r="F1646" s="169" t="s">
        <v>770</v>
      </c>
      <c r="G1646" s="122" t="s">
        <v>770</v>
      </c>
      <c r="H1646" s="170">
        <v>3366020.486</v>
      </c>
      <c r="I1646" s="168" t="s">
        <v>1200</v>
      </c>
      <c r="J1646" s="168" t="s">
        <v>770</v>
      </c>
      <c r="L1646" s="76"/>
    </row>
    <row r="1647" spans="2:12" ht="12" x14ac:dyDescent="0.15">
      <c r="B1647" s="121">
        <v>13</v>
      </c>
      <c r="C1647" s="167" t="s">
        <v>70</v>
      </c>
      <c r="D1647" s="168" t="s">
        <v>1251</v>
      </c>
      <c r="E1647" s="168" t="s">
        <v>770</v>
      </c>
      <c r="F1647" s="169" t="s">
        <v>770</v>
      </c>
      <c r="G1647" s="122" t="s">
        <v>770</v>
      </c>
      <c r="H1647" s="170">
        <v>1056401.605</v>
      </c>
      <c r="I1647" s="168" t="s">
        <v>1200</v>
      </c>
      <c r="J1647" s="168" t="s">
        <v>770</v>
      </c>
      <c r="L1647" s="76"/>
    </row>
    <row r="1648" spans="2:12" ht="12" x14ac:dyDescent="0.15">
      <c r="B1648" s="121">
        <v>13</v>
      </c>
      <c r="C1648" s="167" t="s">
        <v>70</v>
      </c>
      <c r="D1648" s="168" t="s">
        <v>1251</v>
      </c>
      <c r="E1648" s="168" t="s">
        <v>770</v>
      </c>
      <c r="F1648" s="169" t="s">
        <v>770</v>
      </c>
      <c r="G1648" s="122" t="s">
        <v>770</v>
      </c>
      <c r="H1648" s="170">
        <v>225455.67799999999</v>
      </c>
      <c r="I1648" s="168" t="s">
        <v>1200</v>
      </c>
      <c r="J1648" s="168" t="s">
        <v>770</v>
      </c>
      <c r="L1648" s="76"/>
    </row>
    <row r="1649" spans="2:12" ht="12" x14ac:dyDescent="0.15">
      <c r="B1649" s="121">
        <v>13</v>
      </c>
      <c r="C1649" s="167" t="s">
        <v>70</v>
      </c>
      <c r="D1649" s="168" t="s">
        <v>1251</v>
      </c>
      <c r="E1649" s="168" t="s">
        <v>770</v>
      </c>
      <c r="F1649" s="169" t="s">
        <v>770</v>
      </c>
      <c r="G1649" s="122" t="s">
        <v>770</v>
      </c>
      <c r="H1649" s="170">
        <v>1056305.1740000001</v>
      </c>
      <c r="I1649" s="168" t="s">
        <v>1200</v>
      </c>
      <c r="J1649" s="168" t="s">
        <v>770</v>
      </c>
      <c r="L1649" s="76"/>
    </row>
    <row r="1650" spans="2:12" ht="12" x14ac:dyDescent="0.15">
      <c r="B1650" s="121">
        <v>13</v>
      </c>
      <c r="C1650" s="167" t="s">
        <v>70</v>
      </c>
      <c r="D1650" s="168" t="s">
        <v>1251</v>
      </c>
      <c r="E1650" s="168" t="s">
        <v>770</v>
      </c>
      <c r="F1650" s="169" t="s">
        <v>770</v>
      </c>
      <c r="G1650" s="122" t="s">
        <v>770</v>
      </c>
      <c r="H1650" s="170">
        <v>98841.775000000009</v>
      </c>
      <c r="I1650" s="168" t="s">
        <v>1200</v>
      </c>
      <c r="J1650" s="168" t="s">
        <v>770</v>
      </c>
      <c r="L1650" s="76"/>
    </row>
    <row r="1651" spans="2:12" ht="12" x14ac:dyDescent="0.15">
      <c r="B1651" s="121">
        <v>13</v>
      </c>
      <c r="C1651" s="167" t="s">
        <v>70</v>
      </c>
      <c r="D1651" s="168" t="s">
        <v>1251</v>
      </c>
      <c r="E1651" s="168" t="s">
        <v>770</v>
      </c>
      <c r="F1651" s="169" t="s">
        <v>770</v>
      </c>
      <c r="G1651" s="122" t="s">
        <v>770</v>
      </c>
      <c r="H1651" s="170">
        <v>244838.30900000001</v>
      </c>
      <c r="I1651" s="168" t="s">
        <v>1200</v>
      </c>
      <c r="J1651" s="168" t="s">
        <v>770</v>
      </c>
      <c r="L1651" s="76"/>
    </row>
    <row r="1652" spans="2:12" ht="12" x14ac:dyDescent="0.15">
      <c r="B1652" s="121">
        <v>13</v>
      </c>
      <c r="C1652" s="167" t="s">
        <v>70</v>
      </c>
      <c r="D1652" s="168" t="s">
        <v>1251</v>
      </c>
      <c r="E1652" s="168" t="s">
        <v>770</v>
      </c>
      <c r="F1652" s="169" t="s">
        <v>770</v>
      </c>
      <c r="G1652" s="122" t="s">
        <v>770</v>
      </c>
      <c r="H1652" s="170">
        <v>225359.24700000003</v>
      </c>
      <c r="I1652" s="168" t="s">
        <v>1200</v>
      </c>
      <c r="J1652" s="168" t="s">
        <v>770</v>
      </c>
      <c r="L1652" s="76"/>
    </row>
    <row r="1653" spans="2:12" ht="12" x14ac:dyDescent="0.15">
      <c r="B1653" s="121">
        <v>13</v>
      </c>
      <c r="C1653" s="167" t="s">
        <v>70</v>
      </c>
      <c r="D1653" s="168" t="s">
        <v>1251</v>
      </c>
      <c r="E1653" s="168" t="s">
        <v>770</v>
      </c>
      <c r="F1653" s="169" t="s">
        <v>770</v>
      </c>
      <c r="G1653" s="122" t="s">
        <v>770</v>
      </c>
      <c r="H1653" s="170">
        <v>1190247.8330000001</v>
      </c>
      <c r="I1653" s="168" t="s">
        <v>1200</v>
      </c>
      <c r="J1653" s="168" t="s">
        <v>770</v>
      </c>
      <c r="L1653" s="76"/>
    </row>
    <row r="1654" spans="2:12" ht="12" x14ac:dyDescent="0.15">
      <c r="B1654" s="121">
        <v>13</v>
      </c>
      <c r="C1654" s="167" t="s">
        <v>70</v>
      </c>
      <c r="D1654" s="168" t="s">
        <v>1251</v>
      </c>
      <c r="E1654" s="168" t="s">
        <v>770</v>
      </c>
      <c r="F1654" s="169" t="s">
        <v>770</v>
      </c>
      <c r="G1654" s="122" t="s">
        <v>770</v>
      </c>
      <c r="H1654" s="170">
        <v>731236.27300000004</v>
      </c>
      <c r="I1654" s="168" t="s">
        <v>1200</v>
      </c>
      <c r="J1654" s="168" t="s">
        <v>770</v>
      </c>
      <c r="L1654" s="76"/>
    </row>
    <row r="1655" spans="2:12" ht="12" x14ac:dyDescent="0.15">
      <c r="B1655" s="121">
        <v>13</v>
      </c>
      <c r="C1655" s="167" t="s">
        <v>70</v>
      </c>
      <c r="D1655" s="168" t="s">
        <v>1251</v>
      </c>
      <c r="E1655" s="168" t="s">
        <v>770</v>
      </c>
      <c r="F1655" s="169" t="s">
        <v>770</v>
      </c>
      <c r="G1655" s="122" t="s">
        <v>770</v>
      </c>
      <c r="H1655" s="170">
        <v>478587.05300000001</v>
      </c>
      <c r="I1655" s="168" t="s">
        <v>1200</v>
      </c>
      <c r="J1655" s="168" t="s">
        <v>770</v>
      </c>
      <c r="L1655" s="76"/>
    </row>
    <row r="1656" spans="2:12" ht="12" x14ac:dyDescent="0.15">
      <c r="B1656" s="121">
        <v>13</v>
      </c>
      <c r="C1656" s="167" t="s">
        <v>70</v>
      </c>
      <c r="D1656" s="168" t="s">
        <v>1251</v>
      </c>
      <c r="E1656" s="168" t="s">
        <v>770</v>
      </c>
      <c r="F1656" s="169" t="s">
        <v>770</v>
      </c>
      <c r="G1656" s="122" t="s">
        <v>770</v>
      </c>
      <c r="H1656" s="170">
        <v>2443947.264</v>
      </c>
      <c r="I1656" s="168" t="s">
        <v>1200</v>
      </c>
      <c r="J1656" s="168" t="s">
        <v>770</v>
      </c>
      <c r="L1656" s="76"/>
    </row>
    <row r="1657" spans="2:12" ht="12" x14ac:dyDescent="0.15">
      <c r="B1657" s="121">
        <v>13</v>
      </c>
      <c r="C1657" s="167" t="s">
        <v>70</v>
      </c>
      <c r="D1657" s="168" t="s">
        <v>1251</v>
      </c>
      <c r="E1657" s="168" t="s">
        <v>770</v>
      </c>
      <c r="F1657" s="169" t="s">
        <v>770</v>
      </c>
      <c r="G1657" s="122" t="s">
        <v>770</v>
      </c>
      <c r="H1657" s="170">
        <v>634612.41100000008</v>
      </c>
      <c r="I1657" s="168" t="s">
        <v>1200</v>
      </c>
      <c r="J1657" s="168" t="s">
        <v>770</v>
      </c>
      <c r="L1657" s="76"/>
    </row>
    <row r="1658" spans="2:12" ht="12" x14ac:dyDescent="0.15">
      <c r="B1658" s="121">
        <v>13</v>
      </c>
      <c r="C1658" s="167" t="s">
        <v>70</v>
      </c>
      <c r="D1658" s="168" t="s">
        <v>1251</v>
      </c>
      <c r="E1658" s="168" t="s">
        <v>770</v>
      </c>
      <c r="F1658" s="169" t="s">
        <v>770</v>
      </c>
      <c r="G1658" s="122" t="s">
        <v>770</v>
      </c>
      <c r="H1658" s="170">
        <v>1795641.6510000001</v>
      </c>
      <c r="I1658" s="168" t="s">
        <v>1200</v>
      </c>
      <c r="J1658" s="168" t="s">
        <v>770</v>
      </c>
      <c r="L1658" s="76"/>
    </row>
    <row r="1659" spans="2:12" ht="12" x14ac:dyDescent="0.15">
      <c r="B1659" s="121">
        <v>13</v>
      </c>
      <c r="C1659" s="167" t="s">
        <v>70</v>
      </c>
      <c r="D1659" s="168" t="s">
        <v>1251</v>
      </c>
      <c r="E1659" s="168" t="s">
        <v>770</v>
      </c>
      <c r="F1659" s="169" t="s">
        <v>770</v>
      </c>
      <c r="G1659" s="122" t="s">
        <v>770</v>
      </c>
      <c r="H1659" s="170">
        <v>754669.00600000005</v>
      </c>
      <c r="I1659" s="168" t="s">
        <v>1200</v>
      </c>
      <c r="J1659" s="168" t="s">
        <v>770</v>
      </c>
      <c r="L1659" s="76"/>
    </row>
    <row r="1660" spans="2:12" ht="12" x14ac:dyDescent="0.15">
      <c r="B1660" s="121">
        <v>13</v>
      </c>
      <c r="C1660" s="167" t="s">
        <v>70</v>
      </c>
      <c r="D1660" s="168" t="s">
        <v>1251</v>
      </c>
      <c r="E1660" s="168" t="s">
        <v>770</v>
      </c>
      <c r="F1660" s="169" t="s">
        <v>770</v>
      </c>
      <c r="G1660" s="122" t="s">
        <v>770</v>
      </c>
      <c r="H1660" s="170">
        <v>767976.48400000005</v>
      </c>
      <c r="I1660" s="168" t="s">
        <v>1200</v>
      </c>
      <c r="J1660" s="168" t="s">
        <v>770</v>
      </c>
      <c r="L1660" s="76"/>
    </row>
    <row r="1661" spans="2:12" ht="12" x14ac:dyDescent="0.15">
      <c r="B1661" s="121">
        <v>13</v>
      </c>
      <c r="C1661" s="167" t="s">
        <v>70</v>
      </c>
      <c r="D1661" s="168" t="s">
        <v>1251</v>
      </c>
      <c r="E1661" s="168" t="s">
        <v>770</v>
      </c>
      <c r="F1661" s="169" t="s">
        <v>770</v>
      </c>
      <c r="G1661" s="122" t="s">
        <v>770</v>
      </c>
      <c r="H1661" s="170">
        <v>382348.91499999998</v>
      </c>
      <c r="I1661" s="168" t="s">
        <v>1200</v>
      </c>
      <c r="J1661" s="168" t="s">
        <v>770</v>
      </c>
      <c r="L1661" s="76"/>
    </row>
    <row r="1662" spans="2:12" ht="12" x14ac:dyDescent="0.15">
      <c r="B1662" s="121">
        <v>13</v>
      </c>
      <c r="C1662" s="167" t="s">
        <v>70</v>
      </c>
      <c r="D1662" s="168" t="s">
        <v>1251</v>
      </c>
      <c r="E1662" s="168" t="s">
        <v>770</v>
      </c>
      <c r="F1662" s="169" t="s">
        <v>770</v>
      </c>
      <c r="G1662" s="122" t="s">
        <v>770</v>
      </c>
      <c r="H1662" s="170">
        <v>1465847.6310000001</v>
      </c>
      <c r="I1662" s="168" t="s">
        <v>1200</v>
      </c>
      <c r="J1662" s="168" t="s">
        <v>770</v>
      </c>
      <c r="L1662" s="76"/>
    </row>
    <row r="1663" spans="2:12" ht="12" x14ac:dyDescent="0.15">
      <c r="B1663" s="121">
        <v>13</v>
      </c>
      <c r="C1663" s="167" t="s">
        <v>70</v>
      </c>
      <c r="D1663" s="168" t="s">
        <v>1251</v>
      </c>
      <c r="E1663" s="168" t="s">
        <v>770</v>
      </c>
      <c r="F1663" s="169" t="s">
        <v>770</v>
      </c>
      <c r="G1663" s="122" t="s">
        <v>770</v>
      </c>
      <c r="H1663" s="170">
        <v>4391853.4639999997</v>
      </c>
      <c r="I1663" s="168" t="s">
        <v>1200</v>
      </c>
      <c r="J1663" s="168" t="s">
        <v>770</v>
      </c>
      <c r="L1663" s="76"/>
    </row>
    <row r="1664" spans="2:12" ht="12" x14ac:dyDescent="0.15">
      <c r="B1664" s="121">
        <v>13</v>
      </c>
      <c r="C1664" s="167" t="s">
        <v>70</v>
      </c>
      <c r="D1664" s="168" t="s">
        <v>1251</v>
      </c>
      <c r="E1664" s="168" t="s">
        <v>770</v>
      </c>
      <c r="F1664" s="169" t="s">
        <v>770</v>
      </c>
      <c r="G1664" s="122" t="s">
        <v>770</v>
      </c>
      <c r="H1664" s="170">
        <v>883307.96</v>
      </c>
      <c r="I1664" s="168" t="s">
        <v>1200</v>
      </c>
      <c r="J1664" s="168" t="s">
        <v>770</v>
      </c>
      <c r="L1664" s="76"/>
    </row>
    <row r="1665" spans="2:12" ht="12" x14ac:dyDescent="0.15">
      <c r="B1665" s="121">
        <v>13</v>
      </c>
      <c r="C1665" s="167" t="s">
        <v>70</v>
      </c>
      <c r="D1665" s="168" t="s">
        <v>1251</v>
      </c>
      <c r="E1665" s="168" t="s">
        <v>770</v>
      </c>
      <c r="F1665" s="169" t="s">
        <v>770</v>
      </c>
      <c r="G1665" s="122" t="s">
        <v>770</v>
      </c>
      <c r="H1665" s="170">
        <v>824388.61899999995</v>
      </c>
      <c r="I1665" s="168" t="s">
        <v>1200</v>
      </c>
      <c r="J1665" s="168" t="s">
        <v>770</v>
      </c>
      <c r="L1665" s="76"/>
    </row>
    <row r="1666" spans="2:12" ht="12" x14ac:dyDescent="0.15">
      <c r="B1666" s="121">
        <v>13</v>
      </c>
      <c r="C1666" s="167" t="s">
        <v>70</v>
      </c>
      <c r="D1666" s="168" t="s">
        <v>1251</v>
      </c>
      <c r="E1666" s="168" t="s">
        <v>770</v>
      </c>
      <c r="F1666" s="169" t="s">
        <v>770</v>
      </c>
      <c r="G1666" s="122" t="s">
        <v>770</v>
      </c>
      <c r="H1666" s="170">
        <v>2628516.1979999999</v>
      </c>
      <c r="I1666" s="168" t="s">
        <v>1200</v>
      </c>
      <c r="J1666" s="168" t="s">
        <v>770</v>
      </c>
      <c r="L1666" s="76"/>
    </row>
    <row r="1667" spans="2:12" ht="12" x14ac:dyDescent="0.15">
      <c r="B1667" s="121">
        <v>13</v>
      </c>
      <c r="C1667" s="167" t="s">
        <v>70</v>
      </c>
      <c r="D1667" s="168" t="s">
        <v>1251</v>
      </c>
      <c r="E1667" s="168" t="s">
        <v>770</v>
      </c>
      <c r="F1667" s="169" t="s">
        <v>770</v>
      </c>
      <c r="G1667" s="122" t="s">
        <v>770</v>
      </c>
      <c r="H1667" s="170">
        <v>2673260.1820000005</v>
      </c>
      <c r="I1667" s="168" t="s">
        <v>1200</v>
      </c>
      <c r="J1667" s="168" t="s">
        <v>770</v>
      </c>
      <c r="L1667" s="76"/>
    </row>
    <row r="1668" spans="2:12" ht="12" x14ac:dyDescent="0.15">
      <c r="B1668" s="121">
        <v>13</v>
      </c>
      <c r="C1668" s="167" t="s">
        <v>70</v>
      </c>
      <c r="D1668" s="168" t="s">
        <v>1251</v>
      </c>
      <c r="E1668" s="168" t="s">
        <v>770</v>
      </c>
      <c r="F1668" s="169" t="s">
        <v>770</v>
      </c>
      <c r="G1668" s="122" t="s">
        <v>770</v>
      </c>
      <c r="H1668" s="170">
        <v>1109438.655</v>
      </c>
      <c r="I1668" s="168" t="s">
        <v>1200</v>
      </c>
      <c r="J1668" s="168" t="s">
        <v>770</v>
      </c>
      <c r="L1668" s="76"/>
    </row>
    <row r="1669" spans="2:12" ht="12" x14ac:dyDescent="0.15">
      <c r="B1669" s="121">
        <v>13</v>
      </c>
      <c r="C1669" s="167" t="s">
        <v>70</v>
      </c>
      <c r="D1669" s="168" t="s">
        <v>1251</v>
      </c>
      <c r="E1669" s="168" t="s">
        <v>770</v>
      </c>
      <c r="F1669" s="169" t="s">
        <v>770</v>
      </c>
      <c r="G1669" s="122" t="s">
        <v>770</v>
      </c>
      <c r="H1669" s="170">
        <v>767976.48400000005</v>
      </c>
      <c r="I1669" s="168" t="s">
        <v>1200</v>
      </c>
      <c r="J1669" s="168" t="s">
        <v>770</v>
      </c>
      <c r="L1669" s="76"/>
    </row>
    <row r="1670" spans="2:12" ht="12" x14ac:dyDescent="0.15">
      <c r="B1670" s="121">
        <v>13</v>
      </c>
      <c r="C1670" s="167" t="s">
        <v>70</v>
      </c>
      <c r="D1670" s="168" t="s">
        <v>1251</v>
      </c>
      <c r="E1670" s="168" t="s">
        <v>770</v>
      </c>
      <c r="F1670" s="169" t="s">
        <v>770</v>
      </c>
      <c r="G1670" s="122" t="s">
        <v>770</v>
      </c>
      <c r="H1670" s="170">
        <v>2631409.128</v>
      </c>
      <c r="I1670" s="168" t="s">
        <v>1200</v>
      </c>
      <c r="J1670" s="168" t="s">
        <v>770</v>
      </c>
      <c r="L1670" s="76"/>
    </row>
    <row r="1671" spans="2:12" ht="12" x14ac:dyDescent="0.15">
      <c r="B1671" s="121">
        <v>13</v>
      </c>
      <c r="C1671" s="167" t="s">
        <v>70</v>
      </c>
      <c r="D1671" s="168" t="s">
        <v>1251</v>
      </c>
      <c r="E1671" s="168" t="s">
        <v>770</v>
      </c>
      <c r="F1671" s="169" t="s">
        <v>770</v>
      </c>
      <c r="G1671" s="122" t="s">
        <v>770</v>
      </c>
      <c r="H1671" s="170">
        <v>947048.85100000002</v>
      </c>
      <c r="I1671" s="168" t="s">
        <v>1200</v>
      </c>
      <c r="J1671" s="168" t="s">
        <v>770</v>
      </c>
      <c r="L1671" s="76"/>
    </row>
    <row r="1672" spans="2:12" ht="12" x14ac:dyDescent="0.15">
      <c r="B1672" s="121">
        <v>13</v>
      </c>
      <c r="C1672" s="167" t="s">
        <v>70</v>
      </c>
      <c r="D1672" s="168" t="s">
        <v>1251</v>
      </c>
      <c r="E1672" s="168" t="s">
        <v>770</v>
      </c>
      <c r="F1672" s="169" t="s">
        <v>770</v>
      </c>
      <c r="G1672" s="122" t="s">
        <v>770</v>
      </c>
      <c r="H1672" s="170">
        <v>815227.67400000012</v>
      </c>
      <c r="I1672" s="168" t="s">
        <v>1200</v>
      </c>
      <c r="J1672" s="168" t="s">
        <v>770</v>
      </c>
      <c r="L1672" s="76"/>
    </row>
    <row r="1673" spans="2:12" ht="12" x14ac:dyDescent="0.15">
      <c r="B1673" s="121">
        <v>13</v>
      </c>
      <c r="C1673" s="167" t="s">
        <v>70</v>
      </c>
      <c r="D1673" s="168" t="s">
        <v>1251</v>
      </c>
      <c r="E1673" s="168" t="s">
        <v>770</v>
      </c>
      <c r="F1673" s="169" t="s">
        <v>770</v>
      </c>
      <c r="G1673" s="122" t="s">
        <v>770</v>
      </c>
      <c r="H1673" s="170">
        <v>2108078.091</v>
      </c>
      <c r="I1673" s="168" t="s">
        <v>1200</v>
      </c>
      <c r="J1673" s="168" t="s">
        <v>770</v>
      </c>
      <c r="L1673" s="76"/>
    </row>
    <row r="1674" spans="2:12" ht="12" x14ac:dyDescent="0.15">
      <c r="B1674" s="121">
        <v>13</v>
      </c>
      <c r="C1674" s="167" t="s">
        <v>70</v>
      </c>
      <c r="D1674" s="168" t="s">
        <v>1251</v>
      </c>
      <c r="E1674" s="168" t="s">
        <v>770</v>
      </c>
      <c r="F1674" s="169" t="s">
        <v>770</v>
      </c>
      <c r="G1674" s="122" t="s">
        <v>770</v>
      </c>
      <c r="H1674" s="170">
        <v>1950991.9920000001</v>
      </c>
      <c r="I1674" s="168" t="s">
        <v>1200</v>
      </c>
      <c r="J1674" s="168" t="s">
        <v>770</v>
      </c>
      <c r="L1674" s="76"/>
    </row>
    <row r="1675" spans="2:12" ht="12" x14ac:dyDescent="0.15">
      <c r="B1675" s="121">
        <v>13</v>
      </c>
      <c r="C1675" s="167" t="s">
        <v>70</v>
      </c>
      <c r="D1675" s="168" t="s">
        <v>1251</v>
      </c>
      <c r="E1675" s="168" t="s">
        <v>770</v>
      </c>
      <c r="F1675" s="169" t="s">
        <v>770</v>
      </c>
      <c r="G1675" s="122" t="s">
        <v>770</v>
      </c>
      <c r="H1675" s="170">
        <v>674245.55200000003</v>
      </c>
      <c r="I1675" s="168" t="s">
        <v>1200</v>
      </c>
      <c r="J1675" s="168" t="s">
        <v>770</v>
      </c>
      <c r="L1675" s="76"/>
    </row>
    <row r="1676" spans="2:12" ht="12" x14ac:dyDescent="0.15">
      <c r="B1676" s="121">
        <v>13</v>
      </c>
      <c r="C1676" s="167" t="s">
        <v>70</v>
      </c>
      <c r="D1676" s="168" t="s">
        <v>1251</v>
      </c>
      <c r="E1676" s="168" t="s">
        <v>770</v>
      </c>
      <c r="F1676" s="169" t="s">
        <v>770</v>
      </c>
      <c r="G1676" s="122" t="s">
        <v>770</v>
      </c>
      <c r="H1676" s="170">
        <v>48504.793000000005</v>
      </c>
      <c r="I1676" s="168" t="s">
        <v>1200</v>
      </c>
      <c r="J1676" s="168" t="s">
        <v>770</v>
      </c>
      <c r="L1676" s="76"/>
    </row>
    <row r="1677" spans="2:12" ht="12" x14ac:dyDescent="0.15">
      <c r="B1677" s="121">
        <v>13</v>
      </c>
      <c r="C1677" s="167" t="s">
        <v>70</v>
      </c>
      <c r="D1677" s="168" t="s">
        <v>1251</v>
      </c>
      <c r="E1677" s="168" t="s">
        <v>770</v>
      </c>
      <c r="F1677" s="169" t="s">
        <v>770</v>
      </c>
      <c r="G1677" s="122" t="s">
        <v>770</v>
      </c>
      <c r="H1677" s="170">
        <v>163161.25200000004</v>
      </c>
      <c r="I1677" s="168" t="s">
        <v>1200</v>
      </c>
      <c r="J1677" s="168" t="s">
        <v>770</v>
      </c>
      <c r="L1677" s="76"/>
    </row>
    <row r="1678" spans="2:12" ht="12" x14ac:dyDescent="0.15">
      <c r="B1678" s="121">
        <v>13</v>
      </c>
      <c r="C1678" s="167" t="s">
        <v>70</v>
      </c>
      <c r="D1678" s="168" t="s">
        <v>1251</v>
      </c>
      <c r="E1678" s="168" t="s">
        <v>770</v>
      </c>
      <c r="F1678" s="169" t="s">
        <v>770</v>
      </c>
      <c r="G1678" s="122" t="s">
        <v>770</v>
      </c>
      <c r="H1678" s="170">
        <v>2099881.4559999998</v>
      </c>
      <c r="I1678" s="168" t="s">
        <v>1200</v>
      </c>
      <c r="J1678" s="168" t="s">
        <v>770</v>
      </c>
      <c r="L1678" s="76"/>
    </row>
    <row r="1679" spans="2:12" ht="12" x14ac:dyDescent="0.15">
      <c r="B1679" s="121">
        <v>13</v>
      </c>
      <c r="C1679" s="167" t="s">
        <v>70</v>
      </c>
      <c r="D1679" s="168" t="s">
        <v>1251</v>
      </c>
      <c r="E1679" s="168" t="s">
        <v>770</v>
      </c>
      <c r="F1679" s="169" t="s">
        <v>770</v>
      </c>
      <c r="G1679" s="122" t="s">
        <v>770</v>
      </c>
      <c r="H1679" s="170">
        <v>544352.995</v>
      </c>
      <c r="I1679" s="168" t="s">
        <v>1200</v>
      </c>
      <c r="J1679" s="168" t="s">
        <v>770</v>
      </c>
      <c r="L1679" s="76"/>
    </row>
    <row r="1680" spans="2:12" ht="12" x14ac:dyDescent="0.15">
      <c r="B1680" s="121">
        <v>13</v>
      </c>
      <c r="C1680" s="167" t="s">
        <v>70</v>
      </c>
      <c r="D1680" s="168" t="s">
        <v>1251</v>
      </c>
      <c r="E1680" s="168" t="s">
        <v>770</v>
      </c>
      <c r="F1680" s="169" t="s">
        <v>770</v>
      </c>
      <c r="G1680" s="122" t="s">
        <v>770</v>
      </c>
      <c r="H1680" s="170">
        <v>984271.21699999995</v>
      </c>
      <c r="I1680" s="168" t="s">
        <v>1200</v>
      </c>
      <c r="J1680" s="168" t="s">
        <v>770</v>
      </c>
      <c r="L1680" s="76"/>
    </row>
    <row r="1681" spans="2:12" ht="12" x14ac:dyDescent="0.15">
      <c r="B1681" s="121">
        <v>13</v>
      </c>
      <c r="C1681" s="167" t="s">
        <v>70</v>
      </c>
      <c r="D1681" s="168" t="s">
        <v>1251</v>
      </c>
      <c r="E1681" s="168" t="s">
        <v>770</v>
      </c>
      <c r="F1681" s="169" t="s">
        <v>770</v>
      </c>
      <c r="G1681" s="122" t="s">
        <v>770</v>
      </c>
      <c r="H1681" s="170">
        <v>1017636.343</v>
      </c>
      <c r="I1681" s="168" t="s">
        <v>1200</v>
      </c>
      <c r="J1681" s="168" t="s">
        <v>770</v>
      </c>
      <c r="L1681" s="76"/>
    </row>
    <row r="1682" spans="2:12" ht="12" x14ac:dyDescent="0.15">
      <c r="B1682" s="121">
        <v>13</v>
      </c>
      <c r="C1682" s="167" t="s">
        <v>70</v>
      </c>
      <c r="D1682" s="168" t="s">
        <v>1251</v>
      </c>
      <c r="E1682" s="168" t="s">
        <v>770</v>
      </c>
      <c r="F1682" s="169" t="s">
        <v>770</v>
      </c>
      <c r="G1682" s="122" t="s">
        <v>770</v>
      </c>
      <c r="H1682" s="170">
        <v>4331680.5200000005</v>
      </c>
      <c r="I1682" s="168" t="s">
        <v>1200</v>
      </c>
      <c r="J1682" s="168" t="s">
        <v>770</v>
      </c>
      <c r="L1682" s="76"/>
    </row>
    <row r="1683" spans="2:12" ht="12" x14ac:dyDescent="0.15">
      <c r="B1683" s="121">
        <v>13</v>
      </c>
      <c r="C1683" s="167" t="s">
        <v>70</v>
      </c>
      <c r="D1683" s="168" t="s">
        <v>1251</v>
      </c>
      <c r="E1683" s="168" t="s">
        <v>770</v>
      </c>
      <c r="F1683" s="169" t="s">
        <v>770</v>
      </c>
      <c r="G1683" s="122" t="s">
        <v>770</v>
      </c>
      <c r="H1683" s="170">
        <v>1035861.802</v>
      </c>
      <c r="I1683" s="168" t="s">
        <v>1200</v>
      </c>
      <c r="J1683" s="168" t="s">
        <v>770</v>
      </c>
      <c r="L1683" s="76"/>
    </row>
    <row r="1684" spans="2:12" ht="12" x14ac:dyDescent="0.15">
      <c r="B1684" s="121">
        <v>13</v>
      </c>
      <c r="C1684" s="167" t="s">
        <v>70</v>
      </c>
      <c r="D1684" s="168" t="s">
        <v>1251</v>
      </c>
      <c r="E1684" s="168" t="s">
        <v>770</v>
      </c>
      <c r="F1684" s="169" t="s">
        <v>770</v>
      </c>
      <c r="G1684" s="122" t="s">
        <v>770</v>
      </c>
      <c r="H1684" s="170">
        <v>3446347.5090000001</v>
      </c>
      <c r="I1684" s="168" t="s">
        <v>1200</v>
      </c>
      <c r="J1684" s="168" t="s">
        <v>770</v>
      </c>
      <c r="L1684" s="76"/>
    </row>
    <row r="1685" spans="2:12" ht="12" x14ac:dyDescent="0.15">
      <c r="B1685" s="121">
        <v>13</v>
      </c>
      <c r="C1685" s="167" t="s">
        <v>70</v>
      </c>
      <c r="D1685" s="168" t="s">
        <v>1251</v>
      </c>
      <c r="E1685" s="168" t="s">
        <v>770</v>
      </c>
      <c r="F1685" s="169" t="s">
        <v>770</v>
      </c>
      <c r="G1685" s="122" t="s">
        <v>770</v>
      </c>
      <c r="H1685" s="170">
        <v>1150614.692</v>
      </c>
      <c r="I1685" s="168" t="s">
        <v>1200</v>
      </c>
      <c r="J1685" s="168" t="s">
        <v>770</v>
      </c>
      <c r="L1685" s="76"/>
    </row>
    <row r="1686" spans="2:12" ht="12" x14ac:dyDescent="0.15">
      <c r="B1686" s="121">
        <v>13</v>
      </c>
      <c r="C1686" s="167" t="s">
        <v>70</v>
      </c>
      <c r="D1686" s="168" t="s">
        <v>1251</v>
      </c>
      <c r="E1686" s="168" t="s">
        <v>770</v>
      </c>
      <c r="F1686" s="169" t="s">
        <v>770</v>
      </c>
      <c r="G1686" s="122" t="s">
        <v>770</v>
      </c>
      <c r="H1686" s="170">
        <v>57280.014000000003</v>
      </c>
      <c r="I1686" s="168" t="s">
        <v>1200</v>
      </c>
      <c r="J1686" s="168" t="s">
        <v>770</v>
      </c>
      <c r="L1686" s="76"/>
    </row>
    <row r="1687" spans="2:12" ht="12" x14ac:dyDescent="0.15">
      <c r="B1687" s="121">
        <v>13</v>
      </c>
      <c r="C1687" s="167" t="s">
        <v>70</v>
      </c>
      <c r="D1687" s="168" t="s">
        <v>1251</v>
      </c>
      <c r="E1687" s="168" t="s">
        <v>770</v>
      </c>
      <c r="F1687" s="169" t="s">
        <v>770</v>
      </c>
      <c r="G1687" s="122" t="s">
        <v>770</v>
      </c>
      <c r="H1687" s="170">
        <v>859103.7790000001</v>
      </c>
      <c r="I1687" s="168" t="s">
        <v>1200</v>
      </c>
      <c r="J1687" s="168" t="s">
        <v>770</v>
      </c>
      <c r="L1687" s="76"/>
    </row>
    <row r="1688" spans="2:12" ht="12" x14ac:dyDescent="0.15">
      <c r="B1688" s="121">
        <v>13</v>
      </c>
      <c r="C1688" s="167" t="s">
        <v>70</v>
      </c>
      <c r="D1688" s="168" t="s">
        <v>1251</v>
      </c>
      <c r="E1688" s="168" t="s">
        <v>770</v>
      </c>
      <c r="F1688" s="169" t="s">
        <v>770</v>
      </c>
      <c r="G1688" s="122" t="s">
        <v>770</v>
      </c>
      <c r="H1688" s="170">
        <v>859103.7790000001</v>
      </c>
      <c r="I1688" s="168" t="s">
        <v>1200</v>
      </c>
      <c r="J1688" s="168" t="s">
        <v>770</v>
      </c>
      <c r="L1688" s="76"/>
    </row>
    <row r="1689" spans="2:12" ht="12" x14ac:dyDescent="0.15">
      <c r="B1689" s="121">
        <v>13</v>
      </c>
      <c r="C1689" s="167" t="s">
        <v>70</v>
      </c>
      <c r="D1689" s="168" t="s">
        <v>1251</v>
      </c>
      <c r="E1689" s="168" t="s">
        <v>770</v>
      </c>
      <c r="F1689" s="169" t="s">
        <v>770</v>
      </c>
      <c r="G1689" s="122" t="s">
        <v>770</v>
      </c>
      <c r="H1689" s="170">
        <v>203372.97899999999</v>
      </c>
      <c r="I1689" s="168" t="s">
        <v>1200</v>
      </c>
      <c r="J1689" s="168" t="s">
        <v>770</v>
      </c>
      <c r="L1689" s="76"/>
    </row>
    <row r="1690" spans="2:12" ht="12" x14ac:dyDescent="0.15">
      <c r="B1690" s="121">
        <v>13</v>
      </c>
      <c r="C1690" s="167" t="s">
        <v>70</v>
      </c>
      <c r="D1690" s="168" t="s">
        <v>1251</v>
      </c>
      <c r="E1690" s="168" t="s">
        <v>770</v>
      </c>
      <c r="F1690" s="169" t="s">
        <v>770</v>
      </c>
      <c r="G1690" s="122" t="s">
        <v>770</v>
      </c>
      <c r="H1690" s="170">
        <v>3462740.7790000001</v>
      </c>
      <c r="I1690" s="168" t="s">
        <v>1200</v>
      </c>
      <c r="J1690" s="168" t="s">
        <v>770</v>
      </c>
      <c r="L1690" s="76"/>
    </row>
    <row r="1691" spans="2:12" ht="12" x14ac:dyDescent="0.15">
      <c r="B1691" s="121">
        <v>13</v>
      </c>
      <c r="C1691" s="167" t="s">
        <v>70</v>
      </c>
      <c r="D1691" s="168" t="s">
        <v>1251</v>
      </c>
      <c r="E1691" s="168" t="s">
        <v>770</v>
      </c>
      <c r="F1691" s="169" t="s">
        <v>770</v>
      </c>
      <c r="G1691" s="122" t="s">
        <v>770</v>
      </c>
      <c r="H1691" s="170">
        <v>1759769.3190000001</v>
      </c>
      <c r="I1691" s="168" t="s">
        <v>1200</v>
      </c>
      <c r="J1691" s="168" t="s">
        <v>770</v>
      </c>
      <c r="L1691" s="76"/>
    </row>
    <row r="1692" spans="2:12" ht="12" x14ac:dyDescent="0.15">
      <c r="B1692" s="121">
        <v>13</v>
      </c>
      <c r="C1692" s="167" t="s">
        <v>70</v>
      </c>
      <c r="D1692" s="168" t="s">
        <v>1251</v>
      </c>
      <c r="E1692" s="168" t="s">
        <v>770</v>
      </c>
      <c r="F1692" s="169" t="s">
        <v>770</v>
      </c>
      <c r="G1692" s="122" t="s">
        <v>770</v>
      </c>
      <c r="H1692" s="170">
        <v>1596222.3430000001</v>
      </c>
      <c r="I1692" s="168" t="s">
        <v>1200</v>
      </c>
      <c r="J1692" s="168" t="s">
        <v>770</v>
      </c>
      <c r="L1692" s="76"/>
    </row>
    <row r="1693" spans="2:12" ht="12" x14ac:dyDescent="0.15">
      <c r="B1693" s="121">
        <v>13</v>
      </c>
      <c r="C1693" s="167" t="s">
        <v>70</v>
      </c>
      <c r="D1693" s="168" t="s">
        <v>1251</v>
      </c>
      <c r="E1693" s="168" t="s">
        <v>770</v>
      </c>
      <c r="F1693" s="169" t="s">
        <v>770</v>
      </c>
      <c r="G1693" s="122" t="s">
        <v>770</v>
      </c>
      <c r="H1693" s="170">
        <v>208965.97700000001</v>
      </c>
      <c r="I1693" s="168" t="s">
        <v>1200</v>
      </c>
      <c r="J1693" s="168" t="s">
        <v>770</v>
      </c>
      <c r="L1693" s="76"/>
    </row>
    <row r="1694" spans="2:12" ht="12" x14ac:dyDescent="0.15">
      <c r="B1694" s="121">
        <v>13</v>
      </c>
      <c r="C1694" s="167" t="s">
        <v>70</v>
      </c>
      <c r="D1694" s="168" t="s">
        <v>1251</v>
      </c>
      <c r="E1694" s="168" t="s">
        <v>770</v>
      </c>
      <c r="F1694" s="169" t="s">
        <v>770</v>
      </c>
      <c r="G1694" s="122" t="s">
        <v>770</v>
      </c>
      <c r="H1694" s="170">
        <v>208965.97700000001</v>
      </c>
      <c r="I1694" s="168" t="s">
        <v>1200</v>
      </c>
      <c r="J1694" s="168" t="s">
        <v>770</v>
      </c>
      <c r="L1694" s="76"/>
    </row>
    <row r="1695" spans="2:12" ht="12" x14ac:dyDescent="0.15">
      <c r="B1695" s="121">
        <v>13</v>
      </c>
      <c r="C1695" s="167" t="s">
        <v>70</v>
      </c>
      <c r="D1695" s="168" t="s">
        <v>1251</v>
      </c>
      <c r="E1695" s="168" t="s">
        <v>770</v>
      </c>
      <c r="F1695" s="169" t="s">
        <v>770</v>
      </c>
      <c r="G1695" s="122" t="s">
        <v>770</v>
      </c>
      <c r="H1695" s="170">
        <v>1474526.4210000001</v>
      </c>
      <c r="I1695" s="168" t="s">
        <v>1200</v>
      </c>
      <c r="J1695" s="168" t="s">
        <v>770</v>
      </c>
      <c r="L1695" s="76"/>
    </row>
    <row r="1696" spans="2:12" ht="12" x14ac:dyDescent="0.15">
      <c r="B1696" s="121">
        <v>13</v>
      </c>
      <c r="C1696" s="167" t="s">
        <v>70</v>
      </c>
      <c r="D1696" s="168" t="s">
        <v>1251</v>
      </c>
      <c r="E1696" s="168" t="s">
        <v>770</v>
      </c>
      <c r="F1696" s="169" t="s">
        <v>770</v>
      </c>
      <c r="G1696" s="122" t="s">
        <v>770</v>
      </c>
      <c r="H1696" s="170">
        <v>1587157.8290000001</v>
      </c>
      <c r="I1696" s="168" t="s">
        <v>1200</v>
      </c>
      <c r="J1696" s="168" t="s">
        <v>770</v>
      </c>
      <c r="L1696" s="76"/>
    </row>
    <row r="1697" spans="2:12" ht="12" x14ac:dyDescent="0.15">
      <c r="B1697" s="121">
        <v>13</v>
      </c>
      <c r="C1697" s="167" t="s">
        <v>70</v>
      </c>
      <c r="D1697" s="168" t="s">
        <v>1251</v>
      </c>
      <c r="E1697" s="168" t="s">
        <v>770</v>
      </c>
      <c r="F1697" s="169" t="s">
        <v>770</v>
      </c>
      <c r="G1697" s="122" t="s">
        <v>770</v>
      </c>
      <c r="H1697" s="170">
        <v>1964395.9010000001</v>
      </c>
      <c r="I1697" s="168" t="s">
        <v>1200</v>
      </c>
      <c r="J1697" s="168" t="s">
        <v>770</v>
      </c>
      <c r="L1697" s="76"/>
    </row>
    <row r="1698" spans="2:12" ht="12" x14ac:dyDescent="0.15">
      <c r="B1698" s="121">
        <v>13</v>
      </c>
      <c r="C1698" s="167" t="s">
        <v>70</v>
      </c>
      <c r="D1698" s="168" t="s">
        <v>1251</v>
      </c>
      <c r="E1698" s="168" t="s">
        <v>770</v>
      </c>
      <c r="F1698" s="169" t="s">
        <v>770</v>
      </c>
      <c r="G1698" s="122" t="s">
        <v>770</v>
      </c>
      <c r="H1698" s="170">
        <v>707803.54</v>
      </c>
      <c r="I1698" s="168" t="s">
        <v>1200</v>
      </c>
      <c r="J1698" s="168" t="s">
        <v>770</v>
      </c>
      <c r="L1698" s="76"/>
    </row>
    <row r="1699" spans="2:12" ht="12" x14ac:dyDescent="0.15">
      <c r="B1699" s="121">
        <v>13</v>
      </c>
      <c r="C1699" s="167" t="s">
        <v>70</v>
      </c>
      <c r="D1699" s="168" t="s">
        <v>1251</v>
      </c>
      <c r="E1699" s="168" t="s">
        <v>770</v>
      </c>
      <c r="F1699" s="169" t="s">
        <v>770</v>
      </c>
      <c r="G1699" s="122" t="s">
        <v>770</v>
      </c>
      <c r="H1699" s="170">
        <v>1395067.277</v>
      </c>
      <c r="I1699" s="168" t="s">
        <v>1200</v>
      </c>
      <c r="J1699" s="168" t="s">
        <v>770</v>
      </c>
      <c r="L1699" s="76"/>
    </row>
    <row r="1700" spans="2:12" ht="12" x14ac:dyDescent="0.15">
      <c r="B1700" s="121">
        <v>13</v>
      </c>
      <c r="C1700" s="167" t="s">
        <v>70</v>
      </c>
      <c r="D1700" s="168" t="s">
        <v>1251</v>
      </c>
      <c r="E1700" s="168" t="s">
        <v>770</v>
      </c>
      <c r="F1700" s="169" t="s">
        <v>770</v>
      </c>
      <c r="G1700" s="122" t="s">
        <v>770</v>
      </c>
      <c r="H1700" s="170">
        <v>847049.9040000001</v>
      </c>
      <c r="I1700" s="168" t="s">
        <v>1200</v>
      </c>
      <c r="J1700" s="168" t="s">
        <v>770</v>
      </c>
      <c r="L1700" s="76"/>
    </row>
    <row r="1701" spans="2:12" ht="12" x14ac:dyDescent="0.15">
      <c r="B1701" s="121">
        <v>13</v>
      </c>
      <c r="C1701" s="167" t="s">
        <v>70</v>
      </c>
      <c r="D1701" s="168" t="s">
        <v>1251</v>
      </c>
      <c r="E1701" s="168" t="s">
        <v>770</v>
      </c>
      <c r="F1701" s="169" t="s">
        <v>770</v>
      </c>
      <c r="G1701" s="122" t="s">
        <v>770</v>
      </c>
      <c r="H1701" s="170">
        <v>629115.84399999992</v>
      </c>
      <c r="I1701" s="168" t="s">
        <v>1200</v>
      </c>
      <c r="J1701" s="168" t="s">
        <v>770</v>
      </c>
      <c r="L1701" s="76"/>
    </row>
    <row r="1702" spans="2:12" ht="12" x14ac:dyDescent="0.15">
      <c r="B1702" s="121">
        <v>13</v>
      </c>
      <c r="C1702" s="167" t="s">
        <v>70</v>
      </c>
      <c r="D1702" s="168" t="s">
        <v>1251</v>
      </c>
      <c r="E1702" s="168" t="s">
        <v>770</v>
      </c>
      <c r="F1702" s="169" t="s">
        <v>770</v>
      </c>
      <c r="G1702" s="122" t="s">
        <v>770</v>
      </c>
      <c r="H1702" s="170">
        <v>2443850.8330000001</v>
      </c>
      <c r="I1702" s="168" t="s">
        <v>1200</v>
      </c>
      <c r="J1702" s="168" t="s">
        <v>770</v>
      </c>
      <c r="L1702" s="76"/>
    </row>
    <row r="1703" spans="2:12" ht="12" x14ac:dyDescent="0.15">
      <c r="B1703" s="121">
        <v>13</v>
      </c>
      <c r="C1703" s="167" t="s">
        <v>70</v>
      </c>
      <c r="D1703" s="168" t="s">
        <v>1251</v>
      </c>
      <c r="E1703" s="168" t="s">
        <v>770</v>
      </c>
      <c r="F1703" s="169" t="s">
        <v>770</v>
      </c>
      <c r="G1703" s="122" t="s">
        <v>770</v>
      </c>
      <c r="H1703" s="170">
        <v>173575.80000000002</v>
      </c>
      <c r="I1703" s="168" t="s">
        <v>1200</v>
      </c>
      <c r="J1703" s="168" t="s">
        <v>770</v>
      </c>
      <c r="L1703" s="76"/>
    </row>
    <row r="1704" spans="2:12" ht="12" x14ac:dyDescent="0.15">
      <c r="B1704" s="121">
        <v>13</v>
      </c>
      <c r="C1704" s="167" t="s">
        <v>70</v>
      </c>
      <c r="D1704" s="168" t="s">
        <v>1251</v>
      </c>
      <c r="E1704" s="168" t="s">
        <v>770</v>
      </c>
      <c r="F1704" s="169" t="s">
        <v>770</v>
      </c>
      <c r="G1704" s="122" t="s">
        <v>770</v>
      </c>
      <c r="H1704" s="170">
        <v>1301432.7760000001</v>
      </c>
      <c r="I1704" s="168" t="s">
        <v>1200</v>
      </c>
      <c r="J1704" s="168" t="s">
        <v>770</v>
      </c>
      <c r="L1704" s="76"/>
    </row>
    <row r="1705" spans="2:12" ht="12" x14ac:dyDescent="0.15">
      <c r="B1705" s="121">
        <v>13</v>
      </c>
      <c r="C1705" s="167" t="s">
        <v>70</v>
      </c>
      <c r="D1705" s="168" t="s">
        <v>1251</v>
      </c>
      <c r="E1705" s="168" t="s">
        <v>770</v>
      </c>
      <c r="F1705" s="169" t="s">
        <v>770</v>
      </c>
      <c r="G1705" s="122" t="s">
        <v>770</v>
      </c>
      <c r="H1705" s="170">
        <v>250913.462</v>
      </c>
      <c r="I1705" s="168" t="s">
        <v>1200</v>
      </c>
      <c r="J1705" s="168" t="s">
        <v>770</v>
      </c>
      <c r="L1705" s="76"/>
    </row>
    <row r="1706" spans="2:12" ht="12" x14ac:dyDescent="0.15">
      <c r="B1706" s="121">
        <v>13</v>
      </c>
      <c r="C1706" s="167" t="s">
        <v>70</v>
      </c>
      <c r="D1706" s="168" t="s">
        <v>1251</v>
      </c>
      <c r="E1706" s="168" t="s">
        <v>770</v>
      </c>
      <c r="F1706" s="169" t="s">
        <v>770</v>
      </c>
      <c r="G1706" s="122" t="s">
        <v>770</v>
      </c>
      <c r="H1706" s="170">
        <v>41368.899000000005</v>
      </c>
      <c r="I1706" s="168" t="s">
        <v>1200</v>
      </c>
      <c r="J1706" s="168" t="s">
        <v>770</v>
      </c>
      <c r="L1706" s="76"/>
    </row>
    <row r="1707" spans="2:12" ht="12" x14ac:dyDescent="0.15">
      <c r="B1707" s="121">
        <v>13</v>
      </c>
      <c r="C1707" s="167" t="s">
        <v>70</v>
      </c>
      <c r="D1707" s="168" t="s">
        <v>1251</v>
      </c>
      <c r="E1707" s="168" t="s">
        <v>770</v>
      </c>
      <c r="F1707" s="169" t="s">
        <v>770</v>
      </c>
      <c r="G1707" s="122" t="s">
        <v>770</v>
      </c>
      <c r="H1707" s="170">
        <v>32304.385000000002</v>
      </c>
      <c r="I1707" s="168" t="s">
        <v>1200</v>
      </c>
      <c r="J1707" s="168" t="s">
        <v>770</v>
      </c>
      <c r="L1707" s="76"/>
    </row>
    <row r="1708" spans="2:12" ht="12" x14ac:dyDescent="0.15">
      <c r="B1708" s="121">
        <v>13</v>
      </c>
      <c r="C1708" s="167" t="s">
        <v>70</v>
      </c>
      <c r="D1708" s="168" t="s">
        <v>1251</v>
      </c>
      <c r="E1708" s="168" t="s">
        <v>770</v>
      </c>
      <c r="F1708" s="169" t="s">
        <v>770</v>
      </c>
      <c r="G1708" s="122" t="s">
        <v>770</v>
      </c>
      <c r="H1708" s="170">
        <v>3652227.6940000001</v>
      </c>
      <c r="I1708" s="168" t="s">
        <v>1200</v>
      </c>
      <c r="J1708" s="168" t="s">
        <v>770</v>
      </c>
      <c r="L1708" s="76"/>
    </row>
    <row r="1709" spans="2:12" ht="12" x14ac:dyDescent="0.15">
      <c r="B1709" s="121">
        <v>13</v>
      </c>
      <c r="C1709" s="167" t="s">
        <v>70</v>
      </c>
      <c r="D1709" s="168" t="s">
        <v>1251</v>
      </c>
      <c r="E1709" s="168" t="s">
        <v>770</v>
      </c>
      <c r="F1709" s="169" t="s">
        <v>770</v>
      </c>
      <c r="G1709" s="122" t="s">
        <v>770</v>
      </c>
      <c r="H1709" s="170">
        <v>4653181.4740000004</v>
      </c>
      <c r="I1709" s="168" t="s">
        <v>1200</v>
      </c>
      <c r="J1709" s="168" t="s">
        <v>770</v>
      </c>
      <c r="L1709" s="76"/>
    </row>
    <row r="1710" spans="2:12" ht="12" x14ac:dyDescent="0.15">
      <c r="B1710" s="121">
        <v>13</v>
      </c>
      <c r="C1710" s="167" t="s">
        <v>70</v>
      </c>
      <c r="D1710" s="168" t="s">
        <v>1251</v>
      </c>
      <c r="E1710" s="168" t="s">
        <v>770</v>
      </c>
      <c r="F1710" s="169" t="s">
        <v>770</v>
      </c>
      <c r="G1710" s="122" t="s">
        <v>770</v>
      </c>
      <c r="H1710" s="170">
        <v>1385906.3319999999</v>
      </c>
      <c r="I1710" s="168" t="s">
        <v>1200</v>
      </c>
      <c r="J1710" s="168" t="s">
        <v>770</v>
      </c>
      <c r="L1710" s="76"/>
    </row>
    <row r="1711" spans="2:12" ht="12" x14ac:dyDescent="0.15">
      <c r="B1711" s="121">
        <v>13</v>
      </c>
      <c r="C1711" s="167" t="s">
        <v>70</v>
      </c>
      <c r="D1711" s="168" t="s">
        <v>1251</v>
      </c>
      <c r="E1711" s="168" t="s">
        <v>770</v>
      </c>
      <c r="F1711" s="169" t="s">
        <v>770</v>
      </c>
      <c r="G1711" s="122" t="s">
        <v>770</v>
      </c>
      <c r="H1711" s="170">
        <v>961995.65600000008</v>
      </c>
      <c r="I1711" s="168" t="s">
        <v>1200</v>
      </c>
      <c r="J1711" s="168" t="s">
        <v>770</v>
      </c>
      <c r="L1711" s="76"/>
    </row>
    <row r="1712" spans="2:12" ht="12" x14ac:dyDescent="0.15">
      <c r="B1712" s="121">
        <v>13</v>
      </c>
      <c r="C1712" s="167" t="s">
        <v>70</v>
      </c>
      <c r="D1712" s="168" t="s">
        <v>1251</v>
      </c>
      <c r="E1712" s="168" t="s">
        <v>770</v>
      </c>
      <c r="F1712" s="169" t="s">
        <v>770</v>
      </c>
      <c r="G1712" s="122" t="s">
        <v>770</v>
      </c>
      <c r="H1712" s="170">
        <v>659973.76399999997</v>
      </c>
      <c r="I1712" s="168" t="s">
        <v>1200</v>
      </c>
      <c r="J1712" s="168" t="s">
        <v>770</v>
      </c>
      <c r="L1712" s="76"/>
    </row>
    <row r="1713" spans="2:12" ht="12" x14ac:dyDescent="0.15">
      <c r="B1713" s="121">
        <v>13</v>
      </c>
      <c r="C1713" s="167" t="s">
        <v>70</v>
      </c>
      <c r="D1713" s="168" t="s">
        <v>1251</v>
      </c>
      <c r="E1713" s="168" t="s">
        <v>770</v>
      </c>
      <c r="F1713" s="169" t="s">
        <v>770</v>
      </c>
      <c r="G1713" s="122" t="s">
        <v>770</v>
      </c>
      <c r="H1713" s="170">
        <v>544449.42599999998</v>
      </c>
      <c r="I1713" s="168" t="s">
        <v>1200</v>
      </c>
      <c r="J1713" s="168" t="s">
        <v>770</v>
      </c>
      <c r="L1713" s="76"/>
    </row>
    <row r="1714" spans="2:12" ht="12" x14ac:dyDescent="0.15">
      <c r="B1714" s="121">
        <v>13</v>
      </c>
      <c r="C1714" s="167" t="s">
        <v>70</v>
      </c>
      <c r="D1714" s="168" t="s">
        <v>1251</v>
      </c>
      <c r="E1714" s="168" t="s">
        <v>770</v>
      </c>
      <c r="F1714" s="169" t="s">
        <v>770</v>
      </c>
      <c r="G1714" s="122" t="s">
        <v>770</v>
      </c>
      <c r="H1714" s="170">
        <v>2154461.4019999998</v>
      </c>
      <c r="I1714" s="168" t="s">
        <v>1200</v>
      </c>
      <c r="J1714" s="168" t="s">
        <v>770</v>
      </c>
      <c r="L1714" s="76"/>
    </row>
    <row r="1715" spans="2:12" ht="12" x14ac:dyDescent="0.15">
      <c r="B1715" s="121">
        <v>13</v>
      </c>
      <c r="C1715" s="167" t="s">
        <v>70</v>
      </c>
      <c r="D1715" s="168" t="s">
        <v>1251</v>
      </c>
      <c r="E1715" s="168" t="s">
        <v>770</v>
      </c>
      <c r="F1715" s="169" t="s">
        <v>770</v>
      </c>
      <c r="G1715" s="122" t="s">
        <v>770</v>
      </c>
      <c r="H1715" s="170">
        <v>353805.33899999998</v>
      </c>
      <c r="I1715" s="168" t="s">
        <v>1200</v>
      </c>
      <c r="J1715" s="168" t="s">
        <v>770</v>
      </c>
      <c r="L1715" s="76"/>
    </row>
    <row r="1716" spans="2:12" ht="12" x14ac:dyDescent="0.15">
      <c r="B1716" s="121">
        <v>13</v>
      </c>
      <c r="C1716" s="167" t="s">
        <v>70</v>
      </c>
      <c r="D1716" s="168" t="s">
        <v>1251</v>
      </c>
      <c r="E1716" s="168" t="s">
        <v>770</v>
      </c>
      <c r="F1716" s="169" t="s">
        <v>770</v>
      </c>
      <c r="G1716" s="122" t="s">
        <v>770</v>
      </c>
      <c r="H1716" s="170">
        <v>346380.152</v>
      </c>
      <c r="I1716" s="168" t="s">
        <v>1200</v>
      </c>
      <c r="J1716" s="168" t="s">
        <v>770</v>
      </c>
      <c r="L1716" s="76"/>
    </row>
    <row r="1717" spans="2:12" ht="12" x14ac:dyDescent="0.15">
      <c r="B1717" s="121">
        <v>13</v>
      </c>
      <c r="C1717" s="167" t="s">
        <v>70</v>
      </c>
      <c r="D1717" s="168" t="s">
        <v>1251</v>
      </c>
      <c r="E1717" s="168" t="s">
        <v>770</v>
      </c>
      <c r="F1717" s="169" t="s">
        <v>770</v>
      </c>
      <c r="G1717" s="122" t="s">
        <v>770</v>
      </c>
      <c r="H1717" s="170">
        <v>50144.12</v>
      </c>
      <c r="I1717" s="168" t="s">
        <v>1200</v>
      </c>
      <c r="J1717" s="168" t="s">
        <v>770</v>
      </c>
      <c r="L1717" s="76"/>
    </row>
    <row r="1718" spans="2:12" ht="12" x14ac:dyDescent="0.15">
      <c r="B1718" s="121">
        <v>13</v>
      </c>
      <c r="C1718" s="167" t="s">
        <v>70</v>
      </c>
      <c r="D1718" s="168" t="s">
        <v>1251</v>
      </c>
      <c r="E1718" s="168" t="s">
        <v>770</v>
      </c>
      <c r="F1718" s="169" t="s">
        <v>770</v>
      </c>
      <c r="G1718" s="122" t="s">
        <v>770</v>
      </c>
      <c r="H1718" s="170">
        <v>388038.34400000004</v>
      </c>
      <c r="I1718" s="168" t="s">
        <v>1200</v>
      </c>
      <c r="J1718" s="168" t="s">
        <v>770</v>
      </c>
      <c r="L1718" s="76"/>
    </row>
    <row r="1719" spans="2:12" ht="12" x14ac:dyDescent="0.15">
      <c r="B1719" s="121">
        <v>13</v>
      </c>
      <c r="C1719" s="167" t="s">
        <v>70</v>
      </c>
      <c r="D1719" s="168" t="s">
        <v>1251</v>
      </c>
      <c r="E1719" s="168" t="s">
        <v>770</v>
      </c>
      <c r="F1719" s="169" t="s">
        <v>770</v>
      </c>
      <c r="G1719" s="122" t="s">
        <v>770</v>
      </c>
      <c r="H1719" s="170">
        <v>420149.86700000003</v>
      </c>
      <c r="I1719" s="168" t="s">
        <v>1200</v>
      </c>
      <c r="J1719" s="168" t="s">
        <v>770</v>
      </c>
      <c r="L1719" s="76"/>
    </row>
    <row r="1720" spans="2:12" ht="12" x14ac:dyDescent="0.15">
      <c r="B1720" s="121">
        <v>13</v>
      </c>
      <c r="C1720" s="167" t="s">
        <v>70</v>
      </c>
      <c r="D1720" s="168" t="s">
        <v>1251</v>
      </c>
      <c r="E1720" s="168" t="s">
        <v>770</v>
      </c>
      <c r="F1720" s="169" t="s">
        <v>770</v>
      </c>
      <c r="G1720" s="122" t="s">
        <v>770</v>
      </c>
      <c r="H1720" s="170">
        <v>1410110.513</v>
      </c>
      <c r="I1720" s="168" t="s">
        <v>1200</v>
      </c>
      <c r="J1720" s="168" t="s">
        <v>770</v>
      </c>
      <c r="L1720" s="76"/>
    </row>
    <row r="1721" spans="2:12" ht="12" x14ac:dyDescent="0.15">
      <c r="B1721" s="121">
        <v>13</v>
      </c>
      <c r="C1721" s="167" t="s">
        <v>70</v>
      </c>
      <c r="D1721" s="168" t="s">
        <v>1251</v>
      </c>
      <c r="E1721" s="168" t="s">
        <v>770</v>
      </c>
      <c r="F1721" s="169" t="s">
        <v>770</v>
      </c>
      <c r="G1721" s="122" t="s">
        <v>770</v>
      </c>
      <c r="H1721" s="170">
        <v>117067.23400000001</v>
      </c>
      <c r="I1721" s="168" t="s">
        <v>1200</v>
      </c>
      <c r="J1721" s="168" t="s">
        <v>770</v>
      </c>
      <c r="L1721" s="76"/>
    </row>
    <row r="1722" spans="2:12" ht="12" x14ac:dyDescent="0.15">
      <c r="B1722" s="121">
        <v>13</v>
      </c>
      <c r="C1722" s="167" t="s">
        <v>70</v>
      </c>
      <c r="D1722" s="168" t="s">
        <v>1251</v>
      </c>
      <c r="E1722" s="168" t="s">
        <v>770</v>
      </c>
      <c r="F1722" s="169" t="s">
        <v>770</v>
      </c>
      <c r="G1722" s="122" t="s">
        <v>770</v>
      </c>
      <c r="H1722" s="170">
        <v>388134.77500000002</v>
      </c>
      <c r="I1722" s="168" t="s">
        <v>1200</v>
      </c>
      <c r="J1722" s="168" t="s">
        <v>770</v>
      </c>
      <c r="L1722" s="76"/>
    </row>
    <row r="1723" spans="2:12" ht="12" x14ac:dyDescent="0.15">
      <c r="B1723" s="121">
        <v>13</v>
      </c>
      <c r="C1723" s="167" t="s">
        <v>70</v>
      </c>
      <c r="D1723" s="168" t="s">
        <v>1251</v>
      </c>
      <c r="E1723" s="168" t="s">
        <v>770</v>
      </c>
      <c r="F1723" s="169" t="s">
        <v>770</v>
      </c>
      <c r="G1723" s="122" t="s">
        <v>770</v>
      </c>
      <c r="H1723" s="170">
        <v>420246.29800000001</v>
      </c>
      <c r="I1723" s="168" t="s">
        <v>1200</v>
      </c>
      <c r="J1723" s="168" t="s">
        <v>770</v>
      </c>
      <c r="L1723" s="76"/>
    </row>
    <row r="1724" spans="2:12" ht="12" x14ac:dyDescent="0.15">
      <c r="B1724" s="121">
        <v>13</v>
      </c>
      <c r="C1724" s="167" t="s">
        <v>70</v>
      </c>
      <c r="D1724" s="168" t="s">
        <v>1251</v>
      </c>
      <c r="E1724" s="168" t="s">
        <v>770</v>
      </c>
      <c r="F1724" s="169" t="s">
        <v>770</v>
      </c>
      <c r="G1724" s="122" t="s">
        <v>770</v>
      </c>
      <c r="H1724" s="170">
        <v>908187.15800000005</v>
      </c>
      <c r="I1724" s="168" t="s">
        <v>1200</v>
      </c>
      <c r="J1724" s="168" t="s">
        <v>770</v>
      </c>
      <c r="L1724" s="76"/>
    </row>
    <row r="1725" spans="2:12" ht="12" x14ac:dyDescent="0.15">
      <c r="B1725" s="121">
        <v>13</v>
      </c>
      <c r="C1725" s="167" t="s">
        <v>70</v>
      </c>
      <c r="D1725" s="168" t="s">
        <v>1251</v>
      </c>
      <c r="E1725" s="168" t="s">
        <v>770</v>
      </c>
      <c r="F1725" s="169" t="s">
        <v>770</v>
      </c>
      <c r="G1725" s="122" t="s">
        <v>770</v>
      </c>
      <c r="H1725" s="170">
        <v>1448779.344</v>
      </c>
      <c r="I1725" s="168" t="s">
        <v>1200</v>
      </c>
      <c r="J1725" s="168" t="s">
        <v>770</v>
      </c>
      <c r="L1725" s="76"/>
    </row>
    <row r="1726" spans="2:12" ht="12" x14ac:dyDescent="0.15">
      <c r="B1726" s="121">
        <v>13</v>
      </c>
      <c r="C1726" s="167" t="s">
        <v>70</v>
      </c>
      <c r="D1726" s="168" t="s">
        <v>1251</v>
      </c>
      <c r="E1726" s="168" t="s">
        <v>770</v>
      </c>
      <c r="F1726" s="169" t="s">
        <v>770</v>
      </c>
      <c r="G1726" s="122" t="s">
        <v>770</v>
      </c>
      <c r="H1726" s="170">
        <v>122949.52500000001</v>
      </c>
      <c r="I1726" s="168" t="s">
        <v>1200</v>
      </c>
      <c r="J1726" s="168" t="s">
        <v>770</v>
      </c>
      <c r="L1726" s="76"/>
    </row>
    <row r="1727" spans="2:12" ht="12" x14ac:dyDescent="0.15">
      <c r="B1727" s="121">
        <v>13</v>
      </c>
      <c r="C1727" s="167" t="s">
        <v>70</v>
      </c>
      <c r="D1727" s="168" t="s">
        <v>1251</v>
      </c>
      <c r="E1727" s="168" t="s">
        <v>770</v>
      </c>
      <c r="F1727" s="169" t="s">
        <v>770</v>
      </c>
      <c r="G1727" s="122" t="s">
        <v>770</v>
      </c>
      <c r="H1727" s="170">
        <v>178011.62600000002</v>
      </c>
      <c r="I1727" s="168" t="s">
        <v>1200</v>
      </c>
      <c r="J1727" s="168" t="s">
        <v>770</v>
      </c>
      <c r="L1727" s="76"/>
    </row>
    <row r="1728" spans="2:12" ht="12" x14ac:dyDescent="0.15">
      <c r="B1728" s="121">
        <v>13</v>
      </c>
      <c r="C1728" s="167" t="s">
        <v>70</v>
      </c>
      <c r="D1728" s="168" t="s">
        <v>770</v>
      </c>
      <c r="E1728" s="168" t="s">
        <v>770</v>
      </c>
      <c r="F1728" s="169" t="s">
        <v>770</v>
      </c>
      <c r="G1728" s="122" t="s">
        <v>770</v>
      </c>
      <c r="H1728" s="170">
        <v>28985808.566000003</v>
      </c>
      <c r="I1728" s="168" t="s">
        <v>1200</v>
      </c>
      <c r="J1728" s="168" t="s">
        <v>770</v>
      </c>
      <c r="L1728" s="76"/>
    </row>
    <row r="1729" spans="2:12" ht="12" x14ac:dyDescent="0.15">
      <c r="B1729" s="121">
        <v>13</v>
      </c>
      <c r="C1729" s="167" t="s">
        <v>70</v>
      </c>
      <c r="D1729" s="168" t="s">
        <v>1251</v>
      </c>
      <c r="E1729" s="168" t="s">
        <v>770</v>
      </c>
      <c r="F1729" s="169" t="s">
        <v>770</v>
      </c>
      <c r="G1729" s="122" t="s">
        <v>770</v>
      </c>
      <c r="H1729" s="170">
        <v>-5050862.9179999996</v>
      </c>
      <c r="I1729" s="168" t="s">
        <v>1200</v>
      </c>
      <c r="J1729" s="168" t="s">
        <v>770</v>
      </c>
      <c r="L1729" s="76"/>
    </row>
    <row r="1730" spans="2:12" ht="12" x14ac:dyDescent="0.15">
      <c r="B1730" s="121">
        <v>13</v>
      </c>
      <c r="C1730" s="167" t="s">
        <v>70</v>
      </c>
      <c r="D1730" s="168" t="s">
        <v>1251</v>
      </c>
      <c r="E1730" s="168" t="s">
        <v>770</v>
      </c>
      <c r="F1730" s="169" t="s">
        <v>770</v>
      </c>
      <c r="G1730" s="122" t="s">
        <v>770</v>
      </c>
      <c r="H1730" s="170">
        <v>-851389.29900000012</v>
      </c>
      <c r="I1730" s="168" t="s">
        <v>1200</v>
      </c>
      <c r="J1730" s="168" t="s">
        <v>770</v>
      </c>
      <c r="L1730" s="76"/>
    </row>
    <row r="1731" spans="2:12" ht="12" x14ac:dyDescent="0.15">
      <c r="B1731" s="121">
        <v>13</v>
      </c>
      <c r="C1731" s="167" t="s">
        <v>70</v>
      </c>
      <c r="D1731" s="168" t="s">
        <v>770</v>
      </c>
      <c r="E1731" s="168" t="s">
        <v>770</v>
      </c>
      <c r="F1731" s="169" t="s">
        <v>770</v>
      </c>
      <c r="G1731" s="122" t="s">
        <v>770</v>
      </c>
      <c r="H1731" s="170">
        <v>24401768.118999999</v>
      </c>
      <c r="I1731" s="168" t="s">
        <v>1200</v>
      </c>
      <c r="J1731" s="168" t="s">
        <v>770</v>
      </c>
      <c r="L1731" s="76"/>
    </row>
    <row r="1732" spans="2:12" ht="12" x14ac:dyDescent="0.15">
      <c r="B1732" s="121">
        <v>13</v>
      </c>
      <c r="C1732" s="167" t="s">
        <v>70</v>
      </c>
      <c r="D1732" s="168" t="s">
        <v>770</v>
      </c>
      <c r="E1732" s="168" t="s">
        <v>770</v>
      </c>
      <c r="F1732" s="169" t="s">
        <v>770</v>
      </c>
      <c r="G1732" s="122" t="s">
        <v>770</v>
      </c>
      <c r="H1732" s="170">
        <v>24401768.118999999</v>
      </c>
      <c r="I1732" s="168" t="s">
        <v>1200</v>
      </c>
      <c r="J1732" s="168" t="s">
        <v>770</v>
      </c>
      <c r="L1732" s="76"/>
    </row>
    <row r="1733" spans="2:12" ht="12" x14ac:dyDescent="0.15">
      <c r="B1733" s="121">
        <v>13</v>
      </c>
      <c r="C1733" s="167" t="s">
        <v>70</v>
      </c>
      <c r="D1733" s="168" t="s">
        <v>770</v>
      </c>
      <c r="E1733" s="168" t="s">
        <v>770</v>
      </c>
      <c r="F1733" s="169" t="s">
        <v>770</v>
      </c>
      <c r="G1733" s="122" t="s">
        <v>770</v>
      </c>
      <c r="H1733" s="170">
        <v>-24401768.118999999</v>
      </c>
      <c r="I1733" s="168" t="s">
        <v>1200</v>
      </c>
      <c r="J1733" s="168" t="s">
        <v>770</v>
      </c>
      <c r="L1733" s="76"/>
    </row>
    <row r="1734" spans="2:12" ht="12" x14ac:dyDescent="0.15">
      <c r="B1734" s="121">
        <v>13</v>
      </c>
      <c r="C1734" s="167" t="s">
        <v>70</v>
      </c>
      <c r="D1734" s="168" t="s">
        <v>770</v>
      </c>
      <c r="E1734" s="168" t="s">
        <v>770</v>
      </c>
      <c r="F1734" s="169" t="s">
        <v>770</v>
      </c>
      <c r="G1734" s="122" t="s">
        <v>770</v>
      </c>
      <c r="H1734" s="170">
        <v>-24401768.118999999</v>
      </c>
      <c r="I1734" s="168" t="s">
        <v>1200</v>
      </c>
      <c r="J1734" s="168" t="s">
        <v>770</v>
      </c>
      <c r="L1734" s="76"/>
    </row>
    <row r="1735" spans="2:12" ht="12" x14ac:dyDescent="0.15">
      <c r="B1735" s="121">
        <v>13</v>
      </c>
      <c r="C1735" s="167" t="s">
        <v>70</v>
      </c>
      <c r="D1735" s="168" t="s">
        <v>1251</v>
      </c>
      <c r="E1735" s="168" t="s">
        <v>770</v>
      </c>
      <c r="F1735" s="169" t="s">
        <v>770</v>
      </c>
      <c r="G1735" s="122" t="s">
        <v>770</v>
      </c>
      <c r="H1735" s="170">
        <v>-4822707.1720000003</v>
      </c>
      <c r="I1735" s="168" t="s">
        <v>1200</v>
      </c>
      <c r="J1735" s="168" t="s">
        <v>770</v>
      </c>
      <c r="L1735" s="76"/>
    </row>
    <row r="1736" spans="2:12" ht="12" x14ac:dyDescent="0.15">
      <c r="B1736" s="121">
        <v>13</v>
      </c>
      <c r="C1736" s="167" t="s">
        <v>70</v>
      </c>
      <c r="D1736" s="168" t="s">
        <v>1251</v>
      </c>
      <c r="E1736" s="168" t="s">
        <v>770</v>
      </c>
      <c r="F1736" s="169" t="s">
        <v>770</v>
      </c>
      <c r="G1736" s="122" t="s">
        <v>770</v>
      </c>
      <c r="H1736" s="170">
        <v>-929980.56400000001</v>
      </c>
      <c r="I1736" s="168" t="s">
        <v>1200</v>
      </c>
      <c r="J1736" s="168" t="s">
        <v>770</v>
      </c>
      <c r="L1736" s="76"/>
    </row>
    <row r="1737" spans="2:12" ht="12" x14ac:dyDescent="0.15">
      <c r="B1737" s="121">
        <v>13</v>
      </c>
      <c r="C1737" s="167" t="s">
        <v>70</v>
      </c>
      <c r="D1737" s="168" t="s">
        <v>1251</v>
      </c>
      <c r="E1737" s="168" t="s">
        <v>770</v>
      </c>
      <c r="F1737" s="169" t="s">
        <v>770</v>
      </c>
      <c r="G1737" s="122" t="s">
        <v>770</v>
      </c>
      <c r="H1737" s="170">
        <v>574921.62199999997</v>
      </c>
      <c r="I1737" s="168" t="s">
        <v>1200</v>
      </c>
      <c r="J1737" s="168" t="s">
        <v>770</v>
      </c>
      <c r="L1737" s="76"/>
    </row>
    <row r="1738" spans="2:12" ht="12" x14ac:dyDescent="0.15">
      <c r="B1738" s="121">
        <v>13</v>
      </c>
      <c r="C1738" s="167" t="s">
        <v>70</v>
      </c>
      <c r="D1738" s="168" t="s">
        <v>1251</v>
      </c>
      <c r="E1738" s="168" t="s">
        <v>770</v>
      </c>
      <c r="F1738" s="169" t="s">
        <v>770</v>
      </c>
      <c r="G1738" s="122" t="s">
        <v>770</v>
      </c>
      <c r="H1738" s="170">
        <v>5050862.9179999996</v>
      </c>
      <c r="I1738" s="168" t="s">
        <v>1200</v>
      </c>
      <c r="J1738" s="168" t="s">
        <v>770</v>
      </c>
      <c r="L1738" s="76"/>
    </row>
    <row r="1739" spans="2:12" ht="12" x14ac:dyDescent="0.15">
      <c r="B1739" s="121">
        <v>13</v>
      </c>
      <c r="C1739" s="167" t="s">
        <v>70</v>
      </c>
      <c r="D1739" s="168" t="s">
        <v>1251</v>
      </c>
      <c r="E1739" s="168" t="s">
        <v>770</v>
      </c>
      <c r="F1739" s="169" t="s">
        <v>770</v>
      </c>
      <c r="G1739" s="122" t="s">
        <v>770</v>
      </c>
      <c r="H1739" s="170">
        <v>851389.29900000012</v>
      </c>
      <c r="I1739" s="168" t="s">
        <v>1200</v>
      </c>
      <c r="J1739" s="168" t="s">
        <v>770</v>
      </c>
      <c r="L1739" s="76"/>
    </row>
    <row r="1740" spans="2:12" ht="12" x14ac:dyDescent="0.15">
      <c r="B1740" s="121">
        <v>13</v>
      </c>
      <c r="C1740" s="167" t="s">
        <v>70</v>
      </c>
      <c r="D1740" s="168" t="s">
        <v>1251</v>
      </c>
      <c r="E1740" s="168" t="s">
        <v>770</v>
      </c>
      <c r="F1740" s="169" t="s">
        <v>770</v>
      </c>
      <c r="G1740" s="122" t="s">
        <v>770</v>
      </c>
      <c r="H1740" s="170">
        <v>4822707.1720000003</v>
      </c>
      <c r="I1740" s="168" t="s">
        <v>1200</v>
      </c>
      <c r="J1740" s="168" t="s">
        <v>770</v>
      </c>
      <c r="L1740" s="76"/>
    </row>
    <row r="1741" spans="2:12" ht="12" x14ac:dyDescent="0.15">
      <c r="B1741" s="121">
        <v>13</v>
      </c>
      <c r="C1741" s="167" t="s">
        <v>70</v>
      </c>
      <c r="D1741" s="168" t="s">
        <v>1251</v>
      </c>
      <c r="E1741" s="168" t="s">
        <v>770</v>
      </c>
      <c r="F1741" s="169" t="s">
        <v>770</v>
      </c>
      <c r="G1741" s="122" t="s">
        <v>770</v>
      </c>
      <c r="H1741" s="170">
        <v>929980.56400000001</v>
      </c>
      <c r="I1741" s="168" t="s">
        <v>1200</v>
      </c>
      <c r="J1741" s="168" t="s">
        <v>770</v>
      </c>
      <c r="L1741" s="76"/>
    </row>
    <row r="1742" spans="2:12" ht="12" x14ac:dyDescent="0.15">
      <c r="B1742" s="121">
        <v>13</v>
      </c>
      <c r="C1742" s="167" t="s">
        <v>70</v>
      </c>
      <c r="D1742" s="168" t="s">
        <v>770</v>
      </c>
      <c r="E1742" s="168" t="s">
        <v>770</v>
      </c>
      <c r="F1742" s="169" t="s">
        <v>770</v>
      </c>
      <c r="G1742" s="122" t="s">
        <v>770</v>
      </c>
      <c r="H1742" s="170">
        <v>391992.01500000001</v>
      </c>
      <c r="I1742" s="168" t="s">
        <v>1200</v>
      </c>
      <c r="J1742" s="168" t="s">
        <v>770</v>
      </c>
      <c r="L1742" s="76"/>
    </row>
    <row r="1743" spans="2:12" ht="12" x14ac:dyDescent="0.15">
      <c r="B1743" s="121">
        <v>13</v>
      </c>
      <c r="C1743" s="167" t="s">
        <v>70</v>
      </c>
      <c r="D1743" s="168" t="s">
        <v>770</v>
      </c>
      <c r="E1743" s="168" t="s">
        <v>770</v>
      </c>
      <c r="F1743" s="169" t="s">
        <v>770</v>
      </c>
      <c r="G1743" s="122" t="s">
        <v>770</v>
      </c>
      <c r="H1743" s="170">
        <v>391992.01500000001</v>
      </c>
      <c r="I1743" s="168" t="s">
        <v>1200</v>
      </c>
      <c r="J1743" s="168" t="s">
        <v>770</v>
      </c>
      <c r="L1743" s="76"/>
    </row>
    <row r="1744" spans="2:12" ht="12" x14ac:dyDescent="0.15">
      <c r="B1744" s="121">
        <v>13</v>
      </c>
      <c r="C1744" s="167" t="s">
        <v>70</v>
      </c>
      <c r="D1744" s="168" t="s">
        <v>770</v>
      </c>
      <c r="E1744" s="168" t="s">
        <v>770</v>
      </c>
      <c r="F1744" s="169" t="s">
        <v>770</v>
      </c>
      <c r="G1744" s="122" t="s">
        <v>770</v>
      </c>
      <c r="H1744" s="170">
        <v>391992.01500000001</v>
      </c>
      <c r="I1744" s="168" t="s">
        <v>1200</v>
      </c>
      <c r="J1744" s="168" t="s">
        <v>770</v>
      </c>
      <c r="L1744" s="76"/>
    </row>
    <row r="1745" spans="2:12" ht="12" x14ac:dyDescent="0.15">
      <c r="B1745" s="121">
        <v>13</v>
      </c>
      <c r="C1745" s="167" t="s">
        <v>70</v>
      </c>
      <c r="D1745" s="168" t="s">
        <v>770</v>
      </c>
      <c r="E1745" s="168" t="s">
        <v>770</v>
      </c>
      <c r="F1745" s="169" t="s">
        <v>770</v>
      </c>
      <c r="G1745" s="122" t="s">
        <v>770</v>
      </c>
      <c r="H1745" s="170">
        <v>410699.62900000007</v>
      </c>
      <c r="I1745" s="168" t="s">
        <v>1200</v>
      </c>
      <c r="J1745" s="168" t="s">
        <v>770</v>
      </c>
      <c r="L1745" s="76"/>
    </row>
    <row r="1746" spans="2:12" ht="12" x14ac:dyDescent="0.15">
      <c r="B1746" s="121">
        <v>13</v>
      </c>
      <c r="C1746" s="167" t="s">
        <v>70</v>
      </c>
      <c r="D1746" s="168" t="s">
        <v>770</v>
      </c>
      <c r="E1746" s="168" t="s">
        <v>770</v>
      </c>
      <c r="F1746" s="169" t="s">
        <v>770</v>
      </c>
      <c r="G1746" s="122" t="s">
        <v>770</v>
      </c>
      <c r="H1746" s="170">
        <v>410699.62900000007</v>
      </c>
      <c r="I1746" s="168" t="s">
        <v>1200</v>
      </c>
      <c r="J1746" s="168" t="s">
        <v>770</v>
      </c>
      <c r="L1746" s="76"/>
    </row>
    <row r="1747" spans="2:12" ht="12" x14ac:dyDescent="0.15">
      <c r="B1747" s="121">
        <v>13</v>
      </c>
      <c r="C1747" s="167" t="s">
        <v>70</v>
      </c>
      <c r="D1747" s="168" t="s">
        <v>770</v>
      </c>
      <c r="E1747" s="168" t="s">
        <v>770</v>
      </c>
      <c r="F1747" s="169" t="s">
        <v>770</v>
      </c>
      <c r="G1747" s="122" t="s">
        <v>770</v>
      </c>
      <c r="H1747" s="170">
        <v>423139.22800000006</v>
      </c>
      <c r="I1747" s="168" t="s">
        <v>1200</v>
      </c>
      <c r="J1747" s="168" t="s">
        <v>770</v>
      </c>
      <c r="L1747" s="76"/>
    </row>
    <row r="1748" spans="2:12" ht="12" x14ac:dyDescent="0.15">
      <c r="B1748" s="121">
        <v>13</v>
      </c>
      <c r="C1748" s="167" t="s">
        <v>70</v>
      </c>
      <c r="D1748" s="168" t="s">
        <v>770</v>
      </c>
      <c r="E1748" s="168" t="s">
        <v>770</v>
      </c>
      <c r="F1748" s="169" t="s">
        <v>770</v>
      </c>
      <c r="G1748" s="122" t="s">
        <v>770</v>
      </c>
      <c r="H1748" s="170">
        <v>483505.03400000004</v>
      </c>
      <c r="I1748" s="168" t="s">
        <v>1200</v>
      </c>
      <c r="J1748" s="168" t="s">
        <v>770</v>
      </c>
      <c r="L1748" s="76"/>
    </row>
    <row r="1749" spans="2:12" ht="12" x14ac:dyDescent="0.15">
      <c r="B1749" s="121">
        <v>13</v>
      </c>
      <c r="C1749" s="167" t="s">
        <v>70</v>
      </c>
      <c r="D1749" s="168" t="s">
        <v>770</v>
      </c>
      <c r="E1749" s="168" t="s">
        <v>770</v>
      </c>
      <c r="F1749" s="169" t="s">
        <v>770</v>
      </c>
      <c r="G1749" s="122" t="s">
        <v>770</v>
      </c>
      <c r="H1749" s="170">
        <v>488133.72200000001</v>
      </c>
      <c r="I1749" s="168" t="s">
        <v>1200</v>
      </c>
      <c r="J1749" s="168" t="s">
        <v>770</v>
      </c>
      <c r="L1749" s="76"/>
    </row>
    <row r="1750" spans="2:12" ht="12" x14ac:dyDescent="0.15">
      <c r="B1750" s="121">
        <v>13</v>
      </c>
      <c r="C1750" s="167" t="s">
        <v>70</v>
      </c>
      <c r="D1750" s="168" t="s">
        <v>770</v>
      </c>
      <c r="E1750" s="168" t="s">
        <v>770</v>
      </c>
      <c r="F1750" s="169" t="s">
        <v>770</v>
      </c>
      <c r="G1750" s="122" t="s">
        <v>770</v>
      </c>
      <c r="H1750" s="170">
        <v>488133.72200000001</v>
      </c>
      <c r="I1750" s="168" t="s">
        <v>1200</v>
      </c>
      <c r="J1750" s="168" t="s">
        <v>770</v>
      </c>
      <c r="L1750" s="76"/>
    </row>
    <row r="1751" spans="2:12" ht="12" x14ac:dyDescent="0.15">
      <c r="B1751" s="121">
        <v>13</v>
      </c>
      <c r="C1751" s="167" t="s">
        <v>70</v>
      </c>
      <c r="D1751" s="168" t="s">
        <v>770</v>
      </c>
      <c r="E1751" s="168" t="s">
        <v>770</v>
      </c>
      <c r="F1751" s="169" t="s">
        <v>770</v>
      </c>
      <c r="G1751" s="122" t="s">
        <v>770</v>
      </c>
      <c r="H1751" s="170">
        <v>491990.96200000006</v>
      </c>
      <c r="I1751" s="168" t="s">
        <v>1200</v>
      </c>
      <c r="J1751" s="168" t="s">
        <v>770</v>
      </c>
      <c r="L1751" s="76"/>
    </row>
    <row r="1752" spans="2:12" ht="12" x14ac:dyDescent="0.15">
      <c r="B1752" s="121">
        <v>13</v>
      </c>
      <c r="C1752" s="167" t="s">
        <v>70</v>
      </c>
      <c r="D1752" s="168" t="s">
        <v>770</v>
      </c>
      <c r="E1752" s="168" t="s">
        <v>770</v>
      </c>
      <c r="F1752" s="169" t="s">
        <v>770</v>
      </c>
      <c r="G1752" s="122" t="s">
        <v>770</v>
      </c>
      <c r="H1752" s="170">
        <v>491990.96200000006</v>
      </c>
      <c r="I1752" s="168" t="s">
        <v>1200</v>
      </c>
      <c r="J1752" s="168" t="s">
        <v>770</v>
      </c>
      <c r="L1752" s="76"/>
    </row>
    <row r="1753" spans="2:12" ht="12" x14ac:dyDescent="0.15">
      <c r="B1753" s="121">
        <v>13</v>
      </c>
      <c r="C1753" s="167" t="s">
        <v>70</v>
      </c>
      <c r="D1753" s="168" t="s">
        <v>770</v>
      </c>
      <c r="E1753" s="168" t="s">
        <v>770</v>
      </c>
      <c r="F1753" s="169" t="s">
        <v>770</v>
      </c>
      <c r="G1753" s="122" t="s">
        <v>770</v>
      </c>
      <c r="H1753" s="170">
        <v>491990.96200000006</v>
      </c>
      <c r="I1753" s="168" t="s">
        <v>1200</v>
      </c>
      <c r="J1753" s="168" t="s">
        <v>770</v>
      </c>
      <c r="L1753" s="76"/>
    </row>
    <row r="1754" spans="2:12" ht="12" x14ac:dyDescent="0.15">
      <c r="B1754" s="121">
        <v>13</v>
      </c>
      <c r="C1754" s="167" t="s">
        <v>70</v>
      </c>
      <c r="D1754" s="168" t="s">
        <v>770</v>
      </c>
      <c r="E1754" s="168" t="s">
        <v>770</v>
      </c>
      <c r="F1754" s="169" t="s">
        <v>770</v>
      </c>
      <c r="G1754" s="122" t="s">
        <v>770</v>
      </c>
      <c r="H1754" s="170">
        <v>491701.66900000005</v>
      </c>
      <c r="I1754" s="168" t="s">
        <v>1200</v>
      </c>
      <c r="J1754" s="168" t="s">
        <v>770</v>
      </c>
      <c r="L1754" s="76"/>
    </row>
    <row r="1755" spans="2:12" ht="12" x14ac:dyDescent="0.15">
      <c r="B1755" s="121">
        <v>13</v>
      </c>
      <c r="C1755" s="167" t="s">
        <v>70</v>
      </c>
      <c r="D1755" s="168" t="s">
        <v>770</v>
      </c>
      <c r="E1755" s="168" t="s">
        <v>770</v>
      </c>
      <c r="F1755" s="169" t="s">
        <v>770</v>
      </c>
      <c r="G1755" s="122" t="s">
        <v>770</v>
      </c>
      <c r="H1755" s="170">
        <v>491701.66900000005</v>
      </c>
      <c r="I1755" s="168" t="s">
        <v>1200</v>
      </c>
      <c r="J1755" s="168" t="s">
        <v>770</v>
      </c>
      <c r="L1755" s="76"/>
    </row>
    <row r="1756" spans="2:12" ht="12" x14ac:dyDescent="0.15">
      <c r="B1756" s="121">
        <v>13</v>
      </c>
      <c r="C1756" s="167" t="s">
        <v>70</v>
      </c>
      <c r="D1756" s="168" t="s">
        <v>770</v>
      </c>
      <c r="E1756" s="168" t="s">
        <v>770</v>
      </c>
      <c r="F1756" s="169" t="s">
        <v>770</v>
      </c>
      <c r="G1756" s="122" t="s">
        <v>770</v>
      </c>
      <c r="H1756" s="170">
        <v>491701.66900000005</v>
      </c>
      <c r="I1756" s="168" t="s">
        <v>1200</v>
      </c>
      <c r="J1756" s="168" t="s">
        <v>770</v>
      </c>
      <c r="L1756" s="76"/>
    </row>
    <row r="1757" spans="2:12" ht="12" x14ac:dyDescent="0.15">
      <c r="B1757" s="121">
        <v>13</v>
      </c>
      <c r="C1757" s="167" t="s">
        <v>70</v>
      </c>
      <c r="D1757" s="168" t="s">
        <v>770</v>
      </c>
      <c r="E1757" s="168" t="s">
        <v>770</v>
      </c>
      <c r="F1757" s="169" t="s">
        <v>770</v>
      </c>
      <c r="G1757" s="122" t="s">
        <v>770</v>
      </c>
      <c r="H1757" s="170">
        <v>491701.66900000005</v>
      </c>
      <c r="I1757" s="168" t="s">
        <v>1200</v>
      </c>
      <c r="J1757" s="168" t="s">
        <v>770</v>
      </c>
      <c r="L1757" s="76"/>
    </row>
    <row r="1758" spans="2:12" ht="12" x14ac:dyDescent="0.15">
      <c r="B1758" s="121">
        <v>13</v>
      </c>
      <c r="C1758" s="167" t="s">
        <v>70</v>
      </c>
      <c r="D1758" s="168" t="s">
        <v>770</v>
      </c>
      <c r="E1758" s="168" t="s">
        <v>770</v>
      </c>
      <c r="F1758" s="169" t="s">
        <v>770</v>
      </c>
      <c r="G1758" s="122" t="s">
        <v>770</v>
      </c>
      <c r="H1758" s="170">
        <v>491798.10000000003</v>
      </c>
      <c r="I1758" s="168" t="s">
        <v>1200</v>
      </c>
      <c r="J1758" s="168" t="s">
        <v>770</v>
      </c>
      <c r="L1758" s="76"/>
    </row>
    <row r="1759" spans="2:12" ht="12" x14ac:dyDescent="0.15">
      <c r="B1759" s="121">
        <v>13</v>
      </c>
      <c r="C1759" s="167" t="s">
        <v>70</v>
      </c>
      <c r="D1759" s="168" t="s">
        <v>770</v>
      </c>
      <c r="E1759" s="168" t="s">
        <v>770</v>
      </c>
      <c r="F1759" s="169" t="s">
        <v>770</v>
      </c>
      <c r="G1759" s="122" t="s">
        <v>770</v>
      </c>
      <c r="H1759" s="170">
        <v>489580.18700000003</v>
      </c>
      <c r="I1759" s="168" t="s">
        <v>1200</v>
      </c>
      <c r="J1759" s="168" t="s">
        <v>770</v>
      </c>
      <c r="L1759" s="76"/>
    </row>
    <row r="1760" spans="2:12" ht="12" x14ac:dyDescent="0.15">
      <c r="B1760" s="121">
        <v>13</v>
      </c>
      <c r="C1760" s="167" t="s">
        <v>70</v>
      </c>
      <c r="D1760" s="168" t="s">
        <v>770</v>
      </c>
      <c r="E1760" s="168" t="s">
        <v>770</v>
      </c>
      <c r="F1760" s="169" t="s">
        <v>770</v>
      </c>
      <c r="G1760" s="122" t="s">
        <v>770</v>
      </c>
      <c r="H1760" s="170">
        <v>261231.579</v>
      </c>
      <c r="I1760" s="168" t="s">
        <v>1200</v>
      </c>
      <c r="J1760" s="168" t="s">
        <v>770</v>
      </c>
      <c r="L1760" s="76"/>
    </row>
    <row r="1761" spans="2:12" ht="12" x14ac:dyDescent="0.15">
      <c r="B1761" s="121">
        <v>13</v>
      </c>
      <c r="C1761" s="167" t="s">
        <v>70</v>
      </c>
      <c r="D1761" s="168" t="s">
        <v>1251</v>
      </c>
      <c r="E1761" s="168" t="s">
        <v>770</v>
      </c>
      <c r="F1761" s="169" t="s">
        <v>770</v>
      </c>
      <c r="G1761" s="122" t="s">
        <v>770</v>
      </c>
      <c r="H1761" s="170">
        <v>417449.799</v>
      </c>
      <c r="I1761" s="168" t="s">
        <v>1200</v>
      </c>
      <c r="J1761" s="168" t="s">
        <v>770</v>
      </c>
      <c r="L1761" s="76"/>
    </row>
    <row r="1762" spans="2:12" ht="12" x14ac:dyDescent="0.15">
      <c r="B1762" s="121">
        <v>13</v>
      </c>
      <c r="C1762" s="167" t="s">
        <v>70</v>
      </c>
      <c r="D1762" s="168" t="s">
        <v>1251</v>
      </c>
      <c r="E1762" s="168" t="s">
        <v>770</v>
      </c>
      <c r="F1762" s="169" t="s">
        <v>770</v>
      </c>
      <c r="G1762" s="122" t="s">
        <v>770</v>
      </c>
      <c r="H1762" s="170">
        <v>417256.93700000003</v>
      </c>
      <c r="I1762" s="168" t="s">
        <v>1200</v>
      </c>
      <c r="J1762" s="168" t="s">
        <v>770</v>
      </c>
      <c r="L1762" s="76"/>
    </row>
    <row r="1763" spans="2:12" ht="12" x14ac:dyDescent="0.15">
      <c r="B1763" s="121">
        <v>13</v>
      </c>
      <c r="C1763" s="167" t="s">
        <v>70</v>
      </c>
      <c r="D1763" s="168" t="s">
        <v>1251</v>
      </c>
      <c r="E1763" s="168" t="s">
        <v>770</v>
      </c>
      <c r="F1763" s="169" t="s">
        <v>770</v>
      </c>
      <c r="G1763" s="122" t="s">
        <v>770</v>
      </c>
      <c r="H1763" s="170">
        <v>430275.12199999997</v>
      </c>
      <c r="I1763" s="168" t="s">
        <v>1200</v>
      </c>
      <c r="J1763" s="168" t="s">
        <v>770</v>
      </c>
      <c r="L1763" s="76"/>
    </row>
    <row r="1764" spans="2:12" ht="12" x14ac:dyDescent="0.15">
      <c r="B1764" s="121">
        <v>13</v>
      </c>
      <c r="C1764" s="167" t="s">
        <v>70</v>
      </c>
      <c r="D1764" s="168" t="s">
        <v>1251</v>
      </c>
      <c r="E1764" s="168" t="s">
        <v>770</v>
      </c>
      <c r="F1764" s="169" t="s">
        <v>770</v>
      </c>
      <c r="G1764" s="122" t="s">
        <v>770</v>
      </c>
      <c r="H1764" s="170">
        <v>429985.82900000003</v>
      </c>
      <c r="I1764" s="168" t="s">
        <v>1200</v>
      </c>
      <c r="J1764" s="168" t="s">
        <v>770</v>
      </c>
      <c r="L1764" s="76"/>
    </row>
    <row r="1765" spans="2:12" ht="12" x14ac:dyDescent="0.15">
      <c r="B1765" s="121">
        <v>13</v>
      </c>
      <c r="C1765" s="167" t="s">
        <v>70</v>
      </c>
      <c r="D1765" s="168" t="s">
        <v>1251</v>
      </c>
      <c r="E1765" s="168" t="s">
        <v>770</v>
      </c>
      <c r="F1765" s="169" t="s">
        <v>770</v>
      </c>
      <c r="G1765" s="122" t="s">
        <v>770</v>
      </c>
      <c r="H1765" s="170">
        <v>467111.76400000002</v>
      </c>
      <c r="I1765" s="168" t="s">
        <v>1200</v>
      </c>
      <c r="J1765" s="168" t="s">
        <v>770</v>
      </c>
      <c r="L1765" s="76"/>
    </row>
    <row r="1766" spans="2:12" ht="12" x14ac:dyDescent="0.15">
      <c r="B1766" s="121">
        <v>13</v>
      </c>
      <c r="C1766" s="167" t="s">
        <v>70</v>
      </c>
      <c r="D1766" s="168" t="s">
        <v>770</v>
      </c>
      <c r="E1766" s="168" t="s">
        <v>770</v>
      </c>
      <c r="F1766" s="169" t="s">
        <v>770</v>
      </c>
      <c r="G1766" s="122" t="s">
        <v>770</v>
      </c>
      <c r="H1766" s="170">
        <v>516677.29800000001</v>
      </c>
      <c r="I1766" s="168" t="s">
        <v>1200</v>
      </c>
      <c r="J1766" s="168" t="s">
        <v>770</v>
      </c>
      <c r="L1766" s="76"/>
    </row>
    <row r="1767" spans="2:12" ht="12" x14ac:dyDescent="0.15">
      <c r="B1767" s="121">
        <v>13</v>
      </c>
      <c r="C1767" s="167" t="s">
        <v>70</v>
      </c>
      <c r="D1767" s="168" t="s">
        <v>770</v>
      </c>
      <c r="E1767" s="168" t="s">
        <v>770</v>
      </c>
      <c r="F1767" s="169" t="s">
        <v>770</v>
      </c>
      <c r="G1767" s="122" t="s">
        <v>770</v>
      </c>
      <c r="H1767" s="170">
        <v>260556.56200000001</v>
      </c>
      <c r="I1767" s="168" t="s">
        <v>1200</v>
      </c>
      <c r="J1767" s="168" t="s">
        <v>770</v>
      </c>
      <c r="L1767" s="76"/>
    </row>
    <row r="1768" spans="2:12" ht="12" x14ac:dyDescent="0.15">
      <c r="B1768" s="121">
        <v>13</v>
      </c>
      <c r="C1768" s="167" t="s">
        <v>70</v>
      </c>
      <c r="D1768" s="168" t="s">
        <v>770</v>
      </c>
      <c r="E1768" s="168" t="s">
        <v>770</v>
      </c>
      <c r="F1768" s="169" t="s">
        <v>770</v>
      </c>
      <c r="G1768" s="122" t="s">
        <v>770</v>
      </c>
      <c r="H1768" s="170">
        <v>277046.26300000004</v>
      </c>
      <c r="I1768" s="168" t="s">
        <v>1200</v>
      </c>
      <c r="J1768" s="168" t="s">
        <v>770</v>
      </c>
      <c r="L1768" s="76"/>
    </row>
    <row r="1769" spans="2:12" ht="12" x14ac:dyDescent="0.15">
      <c r="B1769" s="121">
        <v>13</v>
      </c>
      <c r="C1769" s="167" t="s">
        <v>70</v>
      </c>
      <c r="D1769" s="168" t="s">
        <v>770</v>
      </c>
      <c r="E1769" s="168" t="s">
        <v>770</v>
      </c>
      <c r="F1769" s="169" t="s">
        <v>770</v>
      </c>
      <c r="G1769" s="122" t="s">
        <v>770</v>
      </c>
      <c r="H1769" s="170">
        <v>258338.649</v>
      </c>
      <c r="I1769" s="168" t="s">
        <v>1200</v>
      </c>
      <c r="J1769" s="168" t="s">
        <v>770</v>
      </c>
      <c r="L1769" s="76"/>
    </row>
    <row r="1770" spans="2:12" ht="12" x14ac:dyDescent="0.15">
      <c r="B1770" s="121">
        <v>13</v>
      </c>
      <c r="C1770" s="167" t="s">
        <v>70</v>
      </c>
      <c r="D1770" s="168" t="s">
        <v>770</v>
      </c>
      <c r="E1770" s="168" t="s">
        <v>770</v>
      </c>
      <c r="F1770" s="169" t="s">
        <v>770</v>
      </c>
      <c r="G1770" s="122" t="s">
        <v>770</v>
      </c>
      <c r="H1770" s="170">
        <v>5110843</v>
      </c>
      <c r="I1770" s="168" t="s">
        <v>1200</v>
      </c>
      <c r="J1770" s="168" t="s">
        <v>770</v>
      </c>
      <c r="L1770" s="76"/>
    </row>
    <row r="1771" spans="2:12" ht="12" x14ac:dyDescent="0.15">
      <c r="B1771" s="121">
        <v>13</v>
      </c>
      <c r="C1771" s="167" t="s">
        <v>70</v>
      </c>
      <c r="D1771" s="168" t="s">
        <v>770</v>
      </c>
      <c r="E1771" s="168" t="s">
        <v>770</v>
      </c>
      <c r="F1771" s="169" t="s">
        <v>770</v>
      </c>
      <c r="G1771" s="122" t="s">
        <v>770</v>
      </c>
      <c r="H1771" s="170">
        <v>5110843</v>
      </c>
      <c r="I1771" s="168" t="s">
        <v>1200</v>
      </c>
      <c r="J1771" s="168" t="s">
        <v>770</v>
      </c>
      <c r="L1771" s="76"/>
    </row>
    <row r="1772" spans="2:12" ht="12" x14ac:dyDescent="0.15">
      <c r="B1772" s="121">
        <v>13</v>
      </c>
      <c r="C1772" s="167" t="s">
        <v>70</v>
      </c>
      <c r="D1772" s="168" t="s">
        <v>770</v>
      </c>
      <c r="E1772" s="168" t="s">
        <v>770</v>
      </c>
      <c r="F1772" s="169" t="s">
        <v>770</v>
      </c>
      <c r="G1772" s="122" t="s">
        <v>770</v>
      </c>
      <c r="H1772" s="170">
        <v>715518.02</v>
      </c>
      <c r="I1772" s="168" t="s">
        <v>1200</v>
      </c>
      <c r="J1772" s="168" t="s">
        <v>770</v>
      </c>
      <c r="L1772" s="76"/>
    </row>
    <row r="1773" spans="2:12" ht="12" x14ac:dyDescent="0.15">
      <c r="B1773" s="121">
        <v>13</v>
      </c>
      <c r="C1773" s="167" t="s">
        <v>70</v>
      </c>
      <c r="D1773" s="168" t="s">
        <v>770</v>
      </c>
      <c r="E1773" s="168" t="s">
        <v>770</v>
      </c>
      <c r="F1773" s="169" t="s">
        <v>770</v>
      </c>
      <c r="G1773" s="122" t="s">
        <v>770</v>
      </c>
      <c r="H1773" s="170">
        <v>417353.36800000002</v>
      </c>
      <c r="I1773" s="168" t="s">
        <v>1200</v>
      </c>
      <c r="J1773" s="168" t="s">
        <v>770</v>
      </c>
      <c r="L1773" s="76"/>
    </row>
    <row r="1774" spans="2:12" ht="12" x14ac:dyDescent="0.15">
      <c r="B1774" s="121">
        <v>13</v>
      </c>
      <c r="C1774" s="167" t="s">
        <v>70</v>
      </c>
      <c r="D1774" s="168" t="s">
        <v>770</v>
      </c>
      <c r="E1774" s="168" t="s">
        <v>770</v>
      </c>
      <c r="F1774" s="169" t="s">
        <v>770</v>
      </c>
      <c r="G1774" s="122" t="s">
        <v>770</v>
      </c>
      <c r="H1774" s="170">
        <v>347440.89300000004</v>
      </c>
      <c r="I1774" s="168" t="s">
        <v>1200</v>
      </c>
      <c r="J1774" s="168" t="s">
        <v>770</v>
      </c>
      <c r="L1774" s="76"/>
    </row>
    <row r="1775" spans="2:12" ht="12" x14ac:dyDescent="0.15">
      <c r="B1775" s="121">
        <v>13</v>
      </c>
      <c r="C1775" s="167" t="s">
        <v>70</v>
      </c>
      <c r="D1775" s="168" t="s">
        <v>770</v>
      </c>
      <c r="E1775" s="168" t="s">
        <v>770</v>
      </c>
      <c r="F1775" s="169" t="s">
        <v>770</v>
      </c>
      <c r="G1775" s="122" t="s">
        <v>770</v>
      </c>
      <c r="H1775" s="170">
        <v>555249.69799999997</v>
      </c>
      <c r="I1775" s="168" t="s">
        <v>1200</v>
      </c>
      <c r="J1775" s="168" t="s">
        <v>770</v>
      </c>
      <c r="L1775" s="76"/>
    </row>
    <row r="1776" spans="2:12" ht="12" x14ac:dyDescent="0.15">
      <c r="B1776" s="121">
        <v>13</v>
      </c>
      <c r="C1776" s="167" t="s">
        <v>70</v>
      </c>
      <c r="D1776" s="168" t="s">
        <v>770</v>
      </c>
      <c r="E1776" s="168" t="s">
        <v>770</v>
      </c>
      <c r="F1776" s="169" t="s">
        <v>770</v>
      </c>
      <c r="G1776" s="122" t="s">
        <v>770</v>
      </c>
      <c r="H1776" s="170">
        <v>259110.09700000001</v>
      </c>
      <c r="I1776" s="168" t="s">
        <v>1200</v>
      </c>
      <c r="J1776" s="168" t="s">
        <v>770</v>
      </c>
      <c r="L1776" s="76"/>
    </row>
    <row r="1777" spans="2:12" ht="12" x14ac:dyDescent="0.15">
      <c r="B1777" s="121">
        <v>13</v>
      </c>
      <c r="C1777" s="167" t="s">
        <v>70</v>
      </c>
      <c r="D1777" s="168" t="s">
        <v>770</v>
      </c>
      <c r="E1777" s="168" t="s">
        <v>770</v>
      </c>
      <c r="F1777" s="169" t="s">
        <v>770</v>
      </c>
      <c r="G1777" s="122" t="s">
        <v>770</v>
      </c>
      <c r="H1777" s="170">
        <v>263545.92300000001</v>
      </c>
      <c r="I1777" s="168" t="s">
        <v>1200</v>
      </c>
      <c r="J1777" s="168" t="s">
        <v>770</v>
      </c>
      <c r="L1777" s="76"/>
    </row>
    <row r="1778" spans="2:12" ht="12" x14ac:dyDescent="0.15">
      <c r="B1778" s="121">
        <v>13</v>
      </c>
      <c r="C1778" s="167" t="s">
        <v>70</v>
      </c>
      <c r="D1778" s="168" t="s">
        <v>770</v>
      </c>
      <c r="E1778" s="168" t="s">
        <v>770</v>
      </c>
      <c r="F1778" s="169" t="s">
        <v>770</v>
      </c>
      <c r="G1778" s="122" t="s">
        <v>770</v>
      </c>
      <c r="H1778" s="170">
        <v>72033.956999999995</v>
      </c>
      <c r="I1778" s="168" t="s">
        <v>1200</v>
      </c>
      <c r="J1778" s="168" t="s">
        <v>770</v>
      </c>
      <c r="L1778" s="76"/>
    </row>
    <row r="1779" spans="2:12" ht="12" x14ac:dyDescent="0.15">
      <c r="B1779" s="121">
        <v>13</v>
      </c>
      <c r="C1779" s="167" t="s">
        <v>70</v>
      </c>
      <c r="D1779" s="168" t="s">
        <v>770</v>
      </c>
      <c r="E1779" s="168" t="s">
        <v>770</v>
      </c>
      <c r="F1779" s="169" t="s">
        <v>770</v>
      </c>
      <c r="G1779" s="122" t="s">
        <v>770</v>
      </c>
      <c r="H1779" s="170">
        <v>208676.68400000001</v>
      </c>
      <c r="I1779" s="168" t="s">
        <v>1200</v>
      </c>
      <c r="J1779" s="168" t="s">
        <v>770</v>
      </c>
      <c r="L1779" s="76"/>
    </row>
    <row r="1780" spans="2:12" ht="12" x14ac:dyDescent="0.15">
      <c r="B1780" s="121">
        <v>13</v>
      </c>
      <c r="C1780" s="167" t="s">
        <v>70</v>
      </c>
      <c r="D1780" s="168" t="s">
        <v>770</v>
      </c>
      <c r="E1780" s="168" t="s">
        <v>770</v>
      </c>
      <c r="F1780" s="169" t="s">
        <v>770</v>
      </c>
      <c r="G1780" s="122" t="s">
        <v>770</v>
      </c>
      <c r="H1780" s="170">
        <v>277624.84899999999</v>
      </c>
      <c r="I1780" s="168" t="s">
        <v>1200</v>
      </c>
      <c r="J1780" s="168" t="s">
        <v>770</v>
      </c>
      <c r="L1780" s="76"/>
    </row>
    <row r="1781" spans="2:12" ht="12" x14ac:dyDescent="0.15">
      <c r="B1781" s="121">
        <v>13</v>
      </c>
      <c r="C1781" s="167" t="s">
        <v>70</v>
      </c>
      <c r="D1781" s="168" t="s">
        <v>770</v>
      </c>
      <c r="E1781" s="168" t="s">
        <v>770</v>
      </c>
      <c r="F1781" s="169" t="s">
        <v>770</v>
      </c>
      <c r="G1781" s="122" t="s">
        <v>770</v>
      </c>
      <c r="H1781" s="170">
        <v>1166911.5310000002</v>
      </c>
      <c r="I1781" s="168" t="s">
        <v>1200</v>
      </c>
      <c r="J1781" s="168" t="s">
        <v>770</v>
      </c>
      <c r="L1781" s="76"/>
    </row>
    <row r="1782" spans="2:12" ht="12" x14ac:dyDescent="0.15">
      <c r="B1782" s="121">
        <v>13</v>
      </c>
      <c r="C1782" s="167" t="s">
        <v>70</v>
      </c>
      <c r="D1782" s="168" t="s">
        <v>770</v>
      </c>
      <c r="E1782" s="168" t="s">
        <v>770</v>
      </c>
      <c r="F1782" s="169" t="s">
        <v>770</v>
      </c>
      <c r="G1782" s="122" t="s">
        <v>770</v>
      </c>
      <c r="H1782" s="170">
        <v>7001276.324</v>
      </c>
      <c r="I1782" s="168" t="s">
        <v>1200</v>
      </c>
      <c r="J1782" s="168" t="s">
        <v>770</v>
      </c>
      <c r="L1782" s="76"/>
    </row>
    <row r="1783" spans="2:12" ht="12" x14ac:dyDescent="0.15">
      <c r="B1783" s="121">
        <v>13</v>
      </c>
      <c r="C1783" s="167" t="s">
        <v>70</v>
      </c>
      <c r="D1783" s="168" t="s">
        <v>770</v>
      </c>
      <c r="E1783" s="168" t="s">
        <v>770</v>
      </c>
      <c r="F1783" s="169" t="s">
        <v>770</v>
      </c>
      <c r="G1783" s="122" t="s">
        <v>770</v>
      </c>
      <c r="H1783" s="170">
        <v>93827.363000000012</v>
      </c>
      <c r="I1783" s="168" t="s">
        <v>1200</v>
      </c>
      <c r="J1783" s="168" t="s">
        <v>770</v>
      </c>
      <c r="L1783" s="76"/>
    </row>
    <row r="1784" spans="2:12" ht="12" x14ac:dyDescent="0.15">
      <c r="B1784" s="121">
        <v>13</v>
      </c>
      <c r="C1784" s="167" t="s">
        <v>70</v>
      </c>
      <c r="D1784" s="168" t="s">
        <v>770</v>
      </c>
      <c r="E1784" s="168" t="s">
        <v>770</v>
      </c>
      <c r="F1784" s="169" t="s">
        <v>770</v>
      </c>
      <c r="G1784" s="122" t="s">
        <v>770</v>
      </c>
      <c r="H1784" s="170">
        <v>3064095.0249999999</v>
      </c>
      <c r="I1784" s="168" t="s">
        <v>1200</v>
      </c>
      <c r="J1784" s="168" t="s">
        <v>770</v>
      </c>
      <c r="L1784" s="76"/>
    </row>
    <row r="1785" spans="2:12" ht="12" x14ac:dyDescent="0.15">
      <c r="B1785" s="121">
        <v>13</v>
      </c>
      <c r="C1785" s="167" t="s">
        <v>70</v>
      </c>
      <c r="D1785" s="168" t="s">
        <v>770</v>
      </c>
      <c r="E1785" s="168" t="s">
        <v>770</v>
      </c>
      <c r="F1785" s="169" t="s">
        <v>770</v>
      </c>
      <c r="G1785" s="122" t="s">
        <v>770</v>
      </c>
      <c r="H1785" s="170">
        <v>1305193.585</v>
      </c>
      <c r="I1785" s="168" t="s">
        <v>1200</v>
      </c>
      <c r="J1785" s="168" t="s">
        <v>770</v>
      </c>
      <c r="L1785" s="76"/>
    </row>
    <row r="1786" spans="2:12" ht="12" x14ac:dyDescent="0.15">
      <c r="B1786" s="121">
        <v>13</v>
      </c>
      <c r="C1786" s="167" t="s">
        <v>70</v>
      </c>
      <c r="D1786" s="168" t="s">
        <v>770</v>
      </c>
      <c r="E1786" s="168" t="s">
        <v>770</v>
      </c>
      <c r="F1786" s="169" t="s">
        <v>770</v>
      </c>
      <c r="G1786" s="122" t="s">
        <v>770</v>
      </c>
      <c r="H1786" s="170">
        <v>5438033.3829999994</v>
      </c>
      <c r="I1786" s="168" t="s">
        <v>1200</v>
      </c>
      <c r="J1786" s="168" t="s">
        <v>770</v>
      </c>
      <c r="L1786" s="76"/>
    </row>
    <row r="1787" spans="2:12" ht="12" x14ac:dyDescent="0.15">
      <c r="B1787" s="121">
        <v>13</v>
      </c>
      <c r="C1787" s="167" t="s">
        <v>70</v>
      </c>
      <c r="D1787" s="168" t="s">
        <v>770</v>
      </c>
      <c r="E1787" s="168" t="s">
        <v>770</v>
      </c>
      <c r="F1787" s="169" t="s">
        <v>770</v>
      </c>
      <c r="G1787" s="122" t="s">
        <v>770</v>
      </c>
      <c r="H1787" s="170">
        <v>275696.22899999999</v>
      </c>
      <c r="I1787" s="168" t="s">
        <v>1200</v>
      </c>
      <c r="J1787" s="168" t="s">
        <v>770</v>
      </c>
      <c r="L1787" s="76"/>
    </row>
    <row r="1788" spans="2:12" ht="12" x14ac:dyDescent="0.15">
      <c r="B1788" s="121">
        <v>13</v>
      </c>
      <c r="C1788" s="167" t="s">
        <v>70</v>
      </c>
      <c r="D1788" s="168" t="s">
        <v>770</v>
      </c>
      <c r="E1788" s="168" t="s">
        <v>770</v>
      </c>
      <c r="F1788" s="169" t="s">
        <v>770</v>
      </c>
      <c r="G1788" s="122" t="s">
        <v>770</v>
      </c>
      <c r="H1788" s="170">
        <v>258917.23500000002</v>
      </c>
      <c r="I1788" s="168" t="s">
        <v>1200</v>
      </c>
      <c r="J1788" s="168" t="s">
        <v>770</v>
      </c>
      <c r="L1788" s="76"/>
    </row>
    <row r="1789" spans="2:12" ht="12" x14ac:dyDescent="0.15">
      <c r="B1789" s="121">
        <v>13</v>
      </c>
      <c r="C1789" s="167" t="s">
        <v>70</v>
      </c>
      <c r="D1789" s="168" t="s">
        <v>770</v>
      </c>
      <c r="E1789" s="168" t="s">
        <v>770</v>
      </c>
      <c r="F1789" s="169" t="s">
        <v>770</v>
      </c>
      <c r="G1789" s="122" t="s">
        <v>770</v>
      </c>
      <c r="H1789" s="170">
        <v>260460.13100000002</v>
      </c>
      <c r="I1789" s="168" t="s">
        <v>1200</v>
      </c>
      <c r="J1789" s="168" t="s">
        <v>770</v>
      </c>
      <c r="L1789" s="76"/>
    </row>
    <row r="1790" spans="2:12" ht="12" x14ac:dyDescent="0.15">
      <c r="B1790" s="121">
        <v>13</v>
      </c>
      <c r="C1790" s="167" t="s">
        <v>70</v>
      </c>
      <c r="D1790" s="168" t="s">
        <v>770</v>
      </c>
      <c r="E1790" s="168" t="s">
        <v>770</v>
      </c>
      <c r="F1790" s="169" t="s">
        <v>770</v>
      </c>
      <c r="G1790" s="122" t="s">
        <v>770</v>
      </c>
      <c r="H1790" s="170">
        <v>551296.027</v>
      </c>
      <c r="I1790" s="168" t="s">
        <v>1200</v>
      </c>
      <c r="J1790" s="168" t="s">
        <v>770</v>
      </c>
      <c r="L1790" s="76"/>
    </row>
    <row r="1791" spans="2:12" ht="12" x14ac:dyDescent="0.15">
      <c r="B1791" s="121">
        <v>13</v>
      </c>
      <c r="C1791" s="167" t="s">
        <v>70</v>
      </c>
      <c r="D1791" s="168" t="s">
        <v>770</v>
      </c>
      <c r="E1791" s="168" t="s">
        <v>770</v>
      </c>
      <c r="F1791" s="169" t="s">
        <v>770</v>
      </c>
      <c r="G1791" s="122" t="s">
        <v>770</v>
      </c>
      <c r="H1791" s="170">
        <v>485819.37800000003</v>
      </c>
      <c r="I1791" s="168" t="s">
        <v>1200</v>
      </c>
      <c r="J1791" s="168" t="s">
        <v>770</v>
      </c>
      <c r="L1791" s="76"/>
    </row>
    <row r="1792" spans="2:12" ht="12" x14ac:dyDescent="0.15">
      <c r="B1792" s="121">
        <v>13</v>
      </c>
      <c r="C1792" s="167" t="s">
        <v>70</v>
      </c>
      <c r="D1792" s="168" t="s">
        <v>770</v>
      </c>
      <c r="E1792" s="168" t="s">
        <v>770</v>
      </c>
      <c r="F1792" s="169" t="s">
        <v>770</v>
      </c>
      <c r="G1792" s="122" t="s">
        <v>770</v>
      </c>
      <c r="H1792" s="170">
        <v>258145.78700000001</v>
      </c>
      <c r="I1792" s="168" t="s">
        <v>1200</v>
      </c>
      <c r="J1792" s="168" t="s">
        <v>770</v>
      </c>
      <c r="L1792" s="76"/>
    </row>
    <row r="1793" spans="2:12" ht="12" x14ac:dyDescent="0.15">
      <c r="B1793" s="121">
        <v>13</v>
      </c>
      <c r="C1793" s="167" t="s">
        <v>70</v>
      </c>
      <c r="D1793" s="168" t="s">
        <v>770</v>
      </c>
      <c r="E1793" s="168" t="s">
        <v>770</v>
      </c>
      <c r="F1793" s="169" t="s">
        <v>770</v>
      </c>
      <c r="G1793" s="122" t="s">
        <v>770</v>
      </c>
      <c r="H1793" s="170">
        <v>258338.649</v>
      </c>
      <c r="I1793" s="168" t="s">
        <v>1200</v>
      </c>
      <c r="J1793" s="168" t="s">
        <v>770</v>
      </c>
      <c r="L1793" s="76"/>
    </row>
    <row r="1794" spans="2:12" ht="12" x14ac:dyDescent="0.15">
      <c r="B1794" s="121">
        <v>13</v>
      </c>
      <c r="C1794" s="167" t="s">
        <v>70</v>
      </c>
      <c r="D1794" s="168" t="s">
        <v>770</v>
      </c>
      <c r="E1794" s="168" t="s">
        <v>770</v>
      </c>
      <c r="F1794" s="169" t="s">
        <v>770</v>
      </c>
      <c r="G1794" s="122" t="s">
        <v>770</v>
      </c>
      <c r="H1794" s="170">
        <v>248502.68700000001</v>
      </c>
      <c r="I1794" s="168" t="s">
        <v>1200</v>
      </c>
      <c r="J1794" s="168" t="s">
        <v>770</v>
      </c>
      <c r="L1794" s="76"/>
    </row>
    <row r="1795" spans="2:12" ht="12" x14ac:dyDescent="0.15">
      <c r="B1795" s="121">
        <v>13</v>
      </c>
      <c r="C1795" s="167" t="s">
        <v>70</v>
      </c>
      <c r="D1795" s="168" t="s">
        <v>770</v>
      </c>
      <c r="E1795" s="168" t="s">
        <v>770</v>
      </c>
      <c r="F1795" s="169" t="s">
        <v>770</v>
      </c>
      <c r="G1795" s="122" t="s">
        <v>770</v>
      </c>
      <c r="H1795" s="170">
        <v>305204.11499999999</v>
      </c>
      <c r="I1795" s="168" t="s">
        <v>1200</v>
      </c>
      <c r="J1795" s="168" t="s">
        <v>770</v>
      </c>
      <c r="L1795" s="76"/>
    </row>
    <row r="1796" spans="2:12" ht="12" x14ac:dyDescent="0.15">
      <c r="B1796" s="121">
        <v>13</v>
      </c>
      <c r="C1796" s="167" t="s">
        <v>70</v>
      </c>
      <c r="D1796" s="168" t="s">
        <v>770</v>
      </c>
      <c r="E1796" s="168" t="s">
        <v>770</v>
      </c>
      <c r="F1796" s="169" t="s">
        <v>770</v>
      </c>
      <c r="G1796" s="122" t="s">
        <v>770</v>
      </c>
      <c r="H1796" s="170">
        <v>341365.74</v>
      </c>
      <c r="I1796" s="168" t="s">
        <v>1200</v>
      </c>
      <c r="J1796" s="168" t="s">
        <v>770</v>
      </c>
      <c r="L1796" s="76"/>
    </row>
    <row r="1797" spans="2:12" ht="12" x14ac:dyDescent="0.15">
      <c r="B1797" s="121">
        <v>13</v>
      </c>
      <c r="C1797" s="167" t="s">
        <v>70</v>
      </c>
      <c r="D1797" s="168" t="s">
        <v>770</v>
      </c>
      <c r="E1797" s="168" t="s">
        <v>770</v>
      </c>
      <c r="F1797" s="169" t="s">
        <v>770</v>
      </c>
      <c r="G1797" s="122" t="s">
        <v>770</v>
      </c>
      <c r="H1797" s="170">
        <v>103856.18700000001</v>
      </c>
      <c r="I1797" s="168" t="s">
        <v>1200</v>
      </c>
      <c r="J1797" s="168" t="s">
        <v>770</v>
      </c>
      <c r="L1797" s="76"/>
    </row>
    <row r="1798" spans="2:12" ht="12" x14ac:dyDescent="0.15">
      <c r="B1798" s="121">
        <v>13</v>
      </c>
      <c r="C1798" s="167" t="s">
        <v>70</v>
      </c>
      <c r="D1798" s="168" t="s">
        <v>770</v>
      </c>
      <c r="E1798" s="168" t="s">
        <v>770</v>
      </c>
      <c r="F1798" s="169" t="s">
        <v>770</v>
      </c>
      <c r="G1798" s="122" t="s">
        <v>770</v>
      </c>
      <c r="H1798" s="170">
        <v>1050422.8830000001</v>
      </c>
      <c r="I1798" s="168" t="s">
        <v>1200</v>
      </c>
      <c r="J1798" s="168" t="s">
        <v>770</v>
      </c>
      <c r="L1798" s="76"/>
    </row>
    <row r="1799" spans="2:12" ht="12" x14ac:dyDescent="0.15">
      <c r="B1799" s="121">
        <v>13</v>
      </c>
      <c r="C1799" s="167" t="s">
        <v>70</v>
      </c>
      <c r="D1799" s="168" t="s">
        <v>770</v>
      </c>
      <c r="E1799" s="168" t="s">
        <v>770</v>
      </c>
      <c r="F1799" s="169" t="s">
        <v>770</v>
      </c>
      <c r="G1799" s="122" t="s">
        <v>770</v>
      </c>
      <c r="H1799" s="170">
        <v>271260.40299999999</v>
      </c>
      <c r="I1799" s="168" t="s">
        <v>1200</v>
      </c>
      <c r="J1799" s="168" t="s">
        <v>770</v>
      </c>
      <c r="L1799" s="76"/>
    </row>
    <row r="1800" spans="2:12" ht="12" x14ac:dyDescent="0.15">
      <c r="B1800" s="121">
        <v>13</v>
      </c>
      <c r="C1800" s="167" t="s">
        <v>70</v>
      </c>
      <c r="D1800" s="168" t="s">
        <v>770</v>
      </c>
      <c r="E1800" s="168" t="s">
        <v>770</v>
      </c>
      <c r="F1800" s="169" t="s">
        <v>770</v>
      </c>
      <c r="G1800" s="122" t="s">
        <v>770</v>
      </c>
      <c r="H1800" s="170">
        <v>610408.23</v>
      </c>
      <c r="I1800" s="168" t="s">
        <v>1200</v>
      </c>
      <c r="J1800" s="168" t="s">
        <v>770</v>
      </c>
      <c r="L1800" s="76"/>
    </row>
    <row r="1801" spans="2:12" ht="12" x14ac:dyDescent="0.15">
      <c r="B1801" s="121">
        <v>13</v>
      </c>
      <c r="C1801" s="167" t="s">
        <v>70</v>
      </c>
      <c r="D1801" s="168" t="s">
        <v>770</v>
      </c>
      <c r="E1801" s="168" t="s">
        <v>770</v>
      </c>
      <c r="F1801" s="169" t="s">
        <v>770</v>
      </c>
      <c r="G1801" s="122" t="s">
        <v>770</v>
      </c>
      <c r="H1801" s="170">
        <v>833067.40899999999</v>
      </c>
      <c r="I1801" s="168" t="s">
        <v>1200</v>
      </c>
      <c r="J1801" s="168" t="s">
        <v>770</v>
      </c>
      <c r="L1801" s="76"/>
    </row>
    <row r="1802" spans="2:12" ht="12" x14ac:dyDescent="0.15">
      <c r="B1802" s="121">
        <v>13</v>
      </c>
      <c r="C1802" s="167" t="s">
        <v>70</v>
      </c>
      <c r="D1802" s="168" t="s">
        <v>770</v>
      </c>
      <c r="E1802" s="168" t="s">
        <v>770</v>
      </c>
      <c r="F1802" s="169" t="s">
        <v>770</v>
      </c>
      <c r="G1802" s="122" t="s">
        <v>770</v>
      </c>
      <c r="H1802" s="170">
        <v>2136043.0809999998</v>
      </c>
      <c r="I1802" s="168" t="s">
        <v>1200</v>
      </c>
      <c r="J1802" s="168" t="s">
        <v>770</v>
      </c>
      <c r="L1802" s="76"/>
    </row>
    <row r="1803" spans="2:12" ht="12" x14ac:dyDescent="0.15">
      <c r="B1803" s="121">
        <v>13</v>
      </c>
      <c r="C1803" s="167" t="s">
        <v>70</v>
      </c>
      <c r="D1803" s="168" t="s">
        <v>770</v>
      </c>
      <c r="E1803" s="168" t="s">
        <v>770</v>
      </c>
      <c r="F1803" s="169" t="s">
        <v>770</v>
      </c>
      <c r="G1803" s="122" t="s">
        <v>770</v>
      </c>
      <c r="H1803" s="170">
        <v>2746740.6039999998</v>
      </c>
      <c r="I1803" s="168" t="s">
        <v>1200</v>
      </c>
      <c r="J1803" s="168" t="s">
        <v>770</v>
      </c>
      <c r="L1803" s="76"/>
    </row>
    <row r="1804" spans="2:12" ht="12" x14ac:dyDescent="0.15">
      <c r="B1804" s="121">
        <v>13</v>
      </c>
      <c r="C1804" s="167" t="s">
        <v>70</v>
      </c>
      <c r="D1804" s="168" t="s">
        <v>770</v>
      </c>
      <c r="E1804" s="168" t="s">
        <v>770</v>
      </c>
      <c r="F1804" s="169" t="s">
        <v>770</v>
      </c>
      <c r="G1804" s="122" t="s">
        <v>770</v>
      </c>
      <c r="H1804" s="170">
        <v>3201412.7690000003</v>
      </c>
      <c r="I1804" s="168" t="s">
        <v>1200</v>
      </c>
      <c r="J1804" s="168" t="s">
        <v>770</v>
      </c>
      <c r="L1804" s="76"/>
    </row>
    <row r="1805" spans="2:12" ht="12" x14ac:dyDescent="0.15">
      <c r="B1805" s="121">
        <v>13</v>
      </c>
      <c r="C1805" s="167" t="s">
        <v>70</v>
      </c>
      <c r="D1805" s="168" t="s">
        <v>770</v>
      </c>
      <c r="E1805" s="168" t="s">
        <v>770</v>
      </c>
      <c r="F1805" s="169" t="s">
        <v>770</v>
      </c>
      <c r="G1805" s="122" t="s">
        <v>770</v>
      </c>
      <c r="H1805" s="170">
        <v>766819.31200000003</v>
      </c>
      <c r="I1805" s="168" t="s">
        <v>1200</v>
      </c>
      <c r="J1805" s="168" t="s">
        <v>770</v>
      </c>
      <c r="L1805" s="76"/>
    </row>
    <row r="1806" spans="2:12" ht="12" x14ac:dyDescent="0.15">
      <c r="B1806" s="121">
        <v>13</v>
      </c>
      <c r="C1806" s="167" t="s">
        <v>70</v>
      </c>
      <c r="D1806" s="168" t="s">
        <v>1251</v>
      </c>
      <c r="E1806" s="168" t="s">
        <v>770</v>
      </c>
      <c r="F1806" s="169" t="s">
        <v>770</v>
      </c>
      <c r="G1806" s="122" t="s">
        <v>770</v>
      </c>
      <c r="H1806" s="170">
        <v>269910.36900000001</v>
      </c>
      <c r="I1806" s="168" t="s">
        <v>1200</v>
      </c>
      <c r="J1806" s="168" t="s">
        <v>770</v>
      </c>
      <c r="L1806" s="76"/>
    </row>
    <row r="1807" spans="2:12" ht="12" x14ac:dyDescent="0.15">
      <c r="B1807" s="121">
        <v>13</v>
      </c>
      <c r="C1807" s="167" t="s">
        <v>70</v>
      </c>
      <c r="D1807" s="168" t="s">
        <v>770</v>
      </c>
      <c r="E1807" s="168" t="s">
        <v>770</v>
      </c>
      <c r="F1807" s="169" t="s">
        <v>770</v>
      </c>
      <c r="G1807" s="122" t="s">
        <v>770</v>
      </c>
      <c r="H1807" s="170">
        <v>238763.15600000002</v>
      </c>
      <c r="I1807" s="168" t="s">
        <v>1200</v>
      </c>
      <c r="J1807" s="168" t="s">
        <v>770</v>
      </c>
      <c r="L1807" s="76"/>
    </row>
    <row r="1808" spans="2:12" ht="12" x14ac:dyDescent="0.15">
      <c r="B1808" s="121">
        <v>13</v>
      </c>
      <c r="C1808" s="167" t="s">
        <v>70</v>
      </c>
      <c r="D1808" s="168" t="s">
        <v>770</v>
      </c>
      <c r="E1808" s="168" t="s">
        <v>770</v>
      </c>
      <c r="F1808" s="169" t="s">
        <v>770</v>
      </c>
      <c r="G1808" s="122" t="s">
        <v>770</v>
      </c>
      <c r="H1808" s="170">
        <v>325840.34899999999</v>
      </c>
      <c r="I1808" s="168" t="s">
        <v>1200</v>
      </c>
      <c r="J1808" s="168" t="s">
        <v>770</v>
      </c>
      <c r="L1808" s="76"/>
    </row>
    <row r="1809" spans="2:12" ht="12" x14ac:dyDescent="0.15">
      <c r="B1809" s="121">
        <v>13</v>
      </c>
      <c r="C1809" s="167" t="s">
        <v>70</v>
      </c>
      <c r="D1809" s="168" t="s">
        <v>770</v>
      </c>
      <c r="E1809" s="168" t="s">
        <v>770</v>
      </c>
      <c r="F1809" s="169" t="s">
        <v>770</v>
      </c>
      <c r="G1809" s="122" t="s">
        <v>770</v>
      </c>
      <c r="H1809" s="170">
        <v>760069.14199999999</v>
      </c>
      <c r="I1809" s="168" t="s">
        <v>1200</v>
      </c>
      <c r="J1809" s="168" t="s">
        <v>770</v>
      </c>
      <c r="L1809" s="76"/>
    </row>
    <row r="1810" spans="2:12" ht="12" x14ac:dyDescent="0.15">
      <c r="B1810" s="121">
        <v>13</v>
      </c>
      <c r="C1810" s="167" t="s">
        <v>70</v>
      </c>
      <c r="D1810" s="168" t="s">
        <v>770</v>
      </c>
      <c r="E1810" s="168" t="s">
        <v>770</v>
      </c>
      <c r="F1810" s="169" t="s">
        <v>770</v>
      </c>
      <c r="G1810" s="122" t="s">
        <v>770</v>
      </c>
      <c r="H1810" s="170">
        <v>1558132.0980000002</v>
      </c>
      <c r="I1810" s="168" t="s">
        <v>1200</v>
      </c>
      <c r="J1810" s="168" t="s">
        <v>770</v>
      </c>
      <c r="L1810" s="76"/>
    </row>
    <row r="1811" spans="2:12" ht="12" x14ac:dyDescent="0.15">
      <c r="B1811" s="121">
        <v>13</v>
      </c>
      <c r="C1811" s="167" t="s">
        <v>70</v>
      </c>
      <c r="D1811" s="168" t="s">
        <v>770</v>
      </c>
      <c r="E1811" s="168" t="s">
        <v>770</v>
      </c>
      <c r="F1811" s="169" t="s">
        <v>770</v>
      </c>
      <c r="G1811" s="122" t="s">
        <v>770</v>
      </c>
      <c r="H1811" s="170">
        <v>632587.36</v>
      </c>
      <c r="I1811" s="168" t="s">
        <v>1200</v>
      </c>
      <c r="J1811" s="168" t="s">
        <v>770</v>
      </c>
      <c r="L1811" s="76"/>
    </row>
    <row r="1812" spans="2:12" ht="12" x14ac:dyDescent="0.15">
      <c r="B1812" s="121">
        <v>13</v>
      </c>
      <c r="C1812" s="167" t="s">
        <v>70</v>
      </c>
      <c r="D1812" s="168" t="s">
        <v>770</v>
      </c>
      <c r="E1812" s="168" t="s">
        <v>770</v>
      </c>
      <c r="F1812" s="169" t="s">
        <v>770</v>
      </c>
      <c r="G1812" s="122" t="s">
        <v>770</v>
      </c>
      <c r="H1812" s="170">
        <v>2628709.0600000005</v>
      </c>
      <c r="I1812" s="168" t="s">
        <v>1200</v>
      </c>
      <c r="J1812" s="168" t="s">
        <v>770</v>
      </c>
      <c r="L1812" s="76"/>
    </row>
    <row r="1813" spans="2:12" ht="12" x14ac:dyDescent="0.15">
      <c r="B1813" s="121">
        <v>13</v>
      </c>
      <c r="C1813" s="167" t="s">
        <v>70</v>
      </c>
      <c r="D1813" s="168" t="s">
        <v>770</v>
      </c>
      <c r="E1813" s="168" t="s">
        <v>770</v>
      </c>
      <c r="F1813" s="169" t="s">
        <v>770</v>
      </c>
      <c r="G1813" s="122" t="s">
        <v>770</v>
      </c>
      <c r="H1813" s="170">
        <v>2631312.6970000002</v>
      </c>
      <c r="I1813" s="168" t="s">
        <v>1200</v>
      </c>
      <c r="J1813" s="168" t="s">
        <v>770</v>
      </c>
      <c r="L1813" s="76"/>
    </row>
    <row r="1814" spans="2:12" ht="12" x14ac:dyDescent="0.15">
      <c r="B1814" s="121">
        <v>13</v>
      </c>
      <c r="C1814" s="167" t="s">
        <v>70</v>
      </c>
      <c r="D1814" s="168" t="s">
        <v>1251</v>
      </c>
      <c r="E1814" s="168" t="s">
        <v>770</v>
      </c>
      <c r="F1814" s="169" t="s">
        <v>770</v>
      </c>
      <c r="G1814" s="122" t="s">
        <v>770</v>
      </c>
      <c r="H1814" s="170">
        <v>1917434.0040000002</v>
      </c>
      <c r="I1814" s="168" t="s">
        <v>1200</v>
      </c>
      <c r="J1814" s="168" t="s">
        <v>770</v>
      </c>
      <c r="L1814" s="76"/>
    </row>
    <row r="1815" spans="2:12" ht="12" x14ac:dyDescent="0.15">
      <c r="B1815" s="121">
        <v>13</v>
      </c>
      <c r="C1815" s="167" t="s">
        <v>70</v>
      </c>
      <c r="D1815" s="168" t="s">
        <v>1251</v>
      </c>
      <c r="E1815" s="168" t="s">
        <v>770</v>
      </c>
      <c r="F1815" s="169" t="s">
        <v>770</v>
      </c>
      <c r="G1815" s="122" t="s">
        <v>770</v>
      </c>
      <c r="H1815" s="170">
        <v>1611072.7169999999</v>
      </c>
      <c r="I1815" s="168" t="s">
        <v>1200</v>
      </c>
      <c r="J1815" s="168" t="s">
        <v>770</v>
      </c>
      <c r="L1815" s="76"/>
    </row>
    <row r="1816" spans="2:12" ht="12" x14ac:dyDescent="0.15">
      <c r="B1816" s="121">
        <v>13</v>
      </c>
      <c r="C1816" s="167" t="s">
        <v>70</v>
      </c>
      <c r="D1816" s="168" t="s">
        <v>1251</v>
      </c>
      <c r="E1816" s="168" t="s">
        <v>770</v>
      </c>
      <c r="F1816" s="169" t="s">
        <v>770</v>
      </c>
      <c r="G1816" s="122" t="s">
        <v>770</v>
      </c>
      <c r="H1816" s="170">
        <v>1611072.7169999999</v>
      </c>
      <c r="I1816" s="168" t="s">
        <v>1200</v>
      </c>
      <c r="J1816" s="168" t="s">
        <v>770</v>
      </c>
      <c r="L1816" s="76"/>
    </row>
    <row r="1817" spans="2:12" ht="12" x14ac:dyDescent="0.15">
      <c r="B1817" s="121">
        <v>13</v>
      </c>
      <c r="C1817" s="167" t="s">
        <v>70</v>
      </c>
      <c r="D1817" s="168" t="s">
        <v>1251</v>
      </c>
      <c r="E1817" s="168" t="s">
        <v>770</v>
      </c>
      <c r="F1817" s="169" t="s">
        <v>770</v>
      </c>
      <c r="G1817" s="122" t="s">
        <v>770</v>
      </c>
      <c r="H1817" s="170">
        <v>2761012.392</v>
      </c>
      <c r="I1817" s="168" t="s">
        <v>1200</v>
      </c>
      <c r="J1817" s="168" t="s">
        <v>770</v>
      </c>
      <c r="L1817" s="76"/>
    </row>
    <row r="1818" spans="2:12" ht="12" x14ac:dyDescent="0.15">
      <c r="B1818" s="121">
        <v>13</v>
      </c>
      <c r="C1818" s="167" t="s">
        <v>70</v>
      </c>
      <c r="D1818" s="168" t="s">
        <v>1251</v>
      </c>
      <c r="E1818" s="168" t="s">
        <v>770</v>
      </c>
      <c r="F1818" s="169" t="s">
        <v>770</v>
      </c>
      <c r="G1818" s="122" t="s">
        <v>770</v>
      </c>
      <c r="H1818" s="170">
        <v>839238.99300000002</v>
      </c>
      <c r="I1818" s="168" t="s">
        <v>1200</v>
      </c>
      <c r="J1818" s="168" t="s">
        <v>770</v>
      </c>
      <c r="L1818" s="76"/>
    </row>
    <row r="1819" spans="2:12" ht="12" x14ac:dyDescent="0.15">
      <c r="B1819" s="121">
        <v>13</v>
      </c>
      <c r="C1819" s="167" t="s">
        <v>70</v>
      </c>
      <c r="D1819" s="168" t="s">
        <v>1251</v>
      </c>
      <c r="E1819" s="168" t="s">
        <v>770</v>
      </c>
      <c r="F1819" s="169" t="s">
        <v>770</v>
      </c>
      <c r="G1819" s="122" t="s">
        <v>770</v>
      </c>
      <c r="H1819" s="170">
        <v>144260.77600000001</v>
      </c>
      <c r="I1819" s="168" t="s">
        <v>1200</v>
      </c>
      <c r="J1819" s="168" t="s">
        <v>770</v>
      </c>
      <c r="L1819" s="76"/>
    </row>
    <row r="1820" spans="2:12" ht="12" x14ac:dyDescent="0.15">
      <c r="B1820" s="121">
        <v>13</v>
      </c>
      <c r="C1820" s="167" t="s">
        <v>70</v>
      </c>
      <c r="D1820" s="168" t="s">
        <v>1251</v>
      </c>
      <c r="E1820" s="168" t="s">
        <v>770</v>
      </c>
      <c r="F1820" s="169" t="s">
        <v>770</v>
      </c>
      <c r="G1820" s="122" t="s">
        <v>770</v>
      </c>
      <c r="H1820" s="170">
        <v>1558228.5290000001</v>
      </c>
      <c r="I1820" s="168" t="s">
        <v>1200</v>
      </c>
      <c r="J1820" s="168" t="s">
        <v>770</v>
      </c>
      <c r="L1820" s="76"/>
    </row>
    <row r="1821" spans="2:12" ht="12" x14ac:dyDescent="0.15">
      <c r="B1821" s="121">
        <v>13</v>
      </c>
      <c r="C1821" s="167" t="s">
        <v>70</v>
      </c>
      <c r="D1821" s="168" t="s">
        <v>1251</v>
      </c>
      <c r="E1821" s="168" t="s">
        <v>770</v>
      </c>
      <c r="F1821" s="169" t="s">
        <v>770</v>
      </c>
      <c r="G1821" s="122" t="s">
        <v>770</v>
      </c>
      <c r="H1821" s="170">
        <v>61715.840000000004</v>
      </c>
      <c r="I1821" s="168" t="s">
        <v>1200</v>
      </c>
      <c r="J1821" s="168" t="s">
        <v>770</v>
      </c>
      <c r="L1821" s="76"/>
    </row>
    <row r="1822" spans="2:12" ht="12" x14ac:dyDescent="0.15">
      <c r="B1822" s="121">
        <v>13</v>
      </c>
      <c r="C1822" s="167" t="s">
        <v>70</v>
      </c>
      <c r="D1822" s="168" t="s">
        <v>770</v>
      </c>
      <c r="E1822" s="168" t="s">
        <v>770</v>
      </c>
      <c r="F1822" s="169" t="s">
        <v>770</v>
      </c>
      <c r="G1822" s="122" t="s">
        <v>770</v>
      </c>
      <c r="H1822" s="170">
        <v>3654059.8830000004</v>
      </c>
      <c r="I1822" s="168" t="s">
        <v>1200</v>
      </c>
      <c r="J1822" s="168" t="s">
        <v>770</v>
      </c>
      <c r="L1822" s="76"/>
    </row>
    <row r="1823" spans="2:12" ht="12" x14ac:dyDescent="0.15">
      <c r="B1823" s="121">
        <v>13</v>
      </c>
      <c r="C1823" s="167" t="s">
        <v>70</v>
      </c>
      <c r="D1823" s="168" t="s">
        <v>1508</v>
      </c>
      <c r="E1823" s="168" t="s">
        <v>770</v>
      </c>
      <c r="F1823" s="169" t="s">
        <v>770</v>
      </c>
      <c r="G1823" s="122" t="s">
        <v>770</v>
      </c>
      <c r="H1823" s="170">
        <v>-3654059.8830000004</v>
      </c>
      <c r="I1823" s="168" t="s">
        <v>1200</v>
      </c>
      <c r="J1823" s="168" t="s">
        <v>770</v>
      </c>
      <c r="L1823" s="76"/>
    </row>
    <row r="1824" spans="2:12" ht="12" x14ac:dyDescent="0.15">
      <c r="B1824" s="121">
        <v>13</v>
      </c>
      <c r="C1824" s="167" t="s">
        <v>70</v>
      </c>
      <c r="D1824" s="168" t="s">
        <v>1509</v>
      </c>
      <c r="E1824" s="168" t="s">
        <v>770</v>
      </c>
      <c r="F1824" s="169" t="s">
        <v>770</v>
      </c>
      <c r="G1824" s="122" t="s">
        <v>770</v>
      </c>
      <c r="H1824" s="170">
        <v>-3287911.3759999997</v>
      </c>
      <c r="I1824" s="168" t="s">
        <v>1200</v>
      </c>
      <c r="J1824" s="168" t="s">
        <v>770</v>
      </c>
      <c r="L1824" s="76"/>
    </row>
    <row r="1825" spans="2:12" ht="12" x14ac:dyDescent="0.15">
      <c r="B1825" s="121">
        <v>13</v>
      </c>
      <c r="C1825" s="167" t="s">
        <v>70</v>
      </c>
      <c r="D1825" s="168" t="s">
        <v>1510</v>
      </c>
      <c r="E1825" s="168" t="s">
        <v>770</v>
      </c>
      <c r="F1825" s="169" t="s">
        <v>770</v>
      </c>
      <c r="G1825" s="122" t="s">
        <v>770</v>
      </c>
      <c r="H1825" s="170">
        <v>-10889181.382000001</v>
      </c>
      <c r="I1825" s="168" t="s">
        <v>1200</v>
      </c>
      <c r="J1825" s="168" t="s">
        <v>770</v>
      </c>
      <c r="L1825" s="76"/>
    </row>
    <row r="1826" spans="2:12" ht="12" x14ac:dyDescent="0.15">
      <c r="B1826" s="121">
        <v>13</v>
      </c>
      <c r="C1826" s="167" t="s">
        <v>70</v>
      </c>
      <c r="D1826" s="168" t="s">
        <v>1511</v>
      </c>
      <c r="E1826" s="168" t="s">
        <v>770</v>
      </c>
      <c r="F1826" s="169" t="s">
        <v>770</v>
      </c>
      <c r="G1826" s="122" t="s">
        <v>770</v>
      </c>
      <c r="H1826" s="170">
        <v>3016747.4040000001</v>
      </c>
      <c r="I1826" s="168" t="s">
        <v>1200</v>
      </c>
      <c r="J1826" s="168" t="s">
        <v>770</v>
      </c>
      <c r="L1826" s="76"/>
    </row>
    <row r="1827" spans="2:12" ht="12" x14ac:dyDescent="0.15">
      <c r="B1827" s="121">
        <v>13</v>
      </c>
      <c r="C1827" s="167" t="s">
        <v>70</v>
      </c>
      <c r="D1827" s="168" t="s">
        <v>1512</v>
      </c>
      <c r="E1827" s="168" t="s">
        <v>770</v>
      </c>
      <c r="F1827" s="169" t="s">
        <v>770</v>
      </c>
      <c r="G1827" s="122" t="s">
        <v>770</v>
      </c>
      <c r="H1827" s="170">
        <v>11053885.529999999</v>
      </c>
      <c r="I1827" s="168" t="s">
        <v>1200</v>
      </c>
      <c r="J1827" s="168" t="s">
        <v>770</v>
      </c>
      <c r="L1827" s="76"/>
    </row>
    <row r="1828" spans="2:12" ht="12" x14ac:dyDescent="0.15">
      <c r="B1828" s="121">
        <v>13</v>
      </c>
      <c r="C1828" s="167" t="s">
        <v>70</v>
      </c>
      <c r="D1828" s="168" t="s">
        <v>1509</v>
      </c>
      <c r="E1828" s="168" t="s">
        <v>770</v>
      </c>
      <c r="F1828" s="169" t="s">
        <v>770</v>
      </c>
      <c r="G1828" s="122" t="s">
        <v>770</v>
      </c>
      <c r="H1828" s="170">
        <v>-3016747.4040000001</v>
      </c>
      <c r="I1828" s="168" t="s">
        <v>1200</v>
      </c>
      <c r="J1828" s="168" t="s">
        <v>770</v>
      </c>
      <c r="L1828" s="76"/>
    </row>
    <row r="1829" spans="2:12" ht="12" x14ac:dyDescent="0.15">
      <c r="B1829" s="121">
        <v>13</v>
      </c>
      <c r="C1829" s="167" t="s">
        <v>70</v>
      </c>
      <c r="D1829" s="168" t="s">
        <v>1513</v>
      </c>
      <c r="E1829" s="168" t="s">
        <v>770</v>
      </c>
      <c r="F1829" s="169" t="s">
        <v>770</v>
      </c>
      <c r="G1829" s="122" t="s">
        <v>770</v>
      </c>
      <c r="H1829" s="170">
        <v>-11053885.529999999</v>
      </c>
      <c r="I1829" s="168" t="s">
        <v>1200</v>
      </c>
      <c r="J1829" s="168" t="s">
        <v>770</v>
      </c>
      <c r="L1829" s="76"/>
    </row>
    <row r="1830" spans="2:12" ht="12" x14ac:dyDescent="0.15">
      <c r="B1830" s="121">
        <v>13</v>
      </c>
      <c r="C1830" s="167" t="s">
        <v>70</v>
      </c>
      <c r="D1830" s="168" t="s">
        <v>1511</v>
      </c>
      <c r="E1830" s="168" t="s">
        <v>770</v>
      </c>
      <c r="F1830" s="169" t="s">
        <v>770</v>
      </c>
      <c r="G1830" s="122" t="s">
        <v>770</v>
      </c>
      <c r="H1830" s="170">
        <v>6774856.3360000001</v>
      </c>
      <c r="I1830" s="168" t="s">
        <v>1200</v>
      </c>
      <c r="J1830" s="168" t="s">
        <v>770</v>
      </c>
      <c r="L1830" s="76"/>
    </row>
    <row r="1831" spans="2:12" ht="12" x14ac:dyDescent="0.15">
      <c r="B1831" s="121">
        <v>13</v>
      </c>
      <c r="C1831" s="167" t="s">
        <v>70</v>
      </c>
      <c r="D1831" s="168" t="s">
        <v>1514</v>
      </c>
      <c r="E1831" s="168" t="s">
        <v>770</v>
      </c>
      <c r="F1831" s="169" t="s">
        <v>770</v>
      </c>
      <c r="G1831" s="122" t="s">
        <v>770</v>
      </c>
      <c r="H1831" s="170">
        <v>20367191.510000002</v>
      </c>
      <c r="I1831" s="168" t="s">
        <v>1200</v>
      </c>
      <c r="J1831" s="168" t="s">
        <v>770</v>
      </c>
      <c r="L1831" s="76"/>
    </row>
    <row r="1832" spans="2:12" ht="12" x14ac:dyDescent="0.15">
      <c r="B1832" s="121">
        <v>13</v>
      </c>
      <c r="C1832" s="167" t="s">
        <v>70</v>
      </c>
      <c r="D1832" s="168" t="s">
        <v>1509</v>
      </c>
      <c r="E1832" s="168" t="s">
        <v>770</v>
      </c>
      <c r="F1832" s="169" t="s">
        <v>770</v>
      </c>
      <c r="G1832" s="122" t="s">
        <v>770</v>
      </c>
      <c r="H1832" s="170">
        <v>-6774856.3360000001</v>
      </c>
      <c r="I1832" s="168" t="s">
        <v>1200</v>
      </c>
      <c r="J1832" s="168" t="s">
        <v>770</v>
      </c>
      <c r="L1832" s="76"/>
    </row>
    <row r="1833" spans="2:12" ht="12" x14ac:dyDescent="0.15">
      <c r="B1833" s="121">
        <v>13</v>
      </c>
      <c r="C1833" s="167" t="s">
        <v>70</v>
      </c>
      <c r="D1833" s="168" t="s">
        <v>1515</v>
      </c>
      <c r="E1833" s="168" t="s">
        <v>770</v>
      </c>
      <c r="F1833" s="169" t="s">
        <v>770</v>
      </c>
      <c r="G1833" s="122" t="s">
        <v>770</v>
      </c>
      <c r="H1833" s="170">
        <v>-20367191.510000002</v>
      </c>
      <c r="I1833" s="168" t="s">
        <v>1200</v>
      </c>
      <c r="J1833" s="168" t="s">
        <v>770</v>
      </c>
      <c r="L1833" s="76"/>
    </row>
    <row r="1834" spans="2:12" ht="12" x14ac:dyDescent="0.15">
      <c r="B1834" s="121">
        <v>13</v>
      </c>
      <c r="C1834" s="167" t="s">
        <v>70</v>
      </c>
      <c r="D1834" s="168" t="s">
        <v>1511</v>
      </c>
      <c r="E1834" s="168" t="s">
        <v>770</v>
      </c>
      <c r="F1834" s="169" t="s">
        <v>770</v>
      </c>
      <c r="G1834" s="122" t="s">
        <v>770</v>
      </c>
      <c r="H1834" s="170">
        <v>4809688.9869999997</v>
      </c>
      <c r="I1834" s="168" t="s">
        <v>1200</v>
      </c>
      <c r="J1834" s="168" t="s">
        <v>770</v>
      </c>
      <c r="L1834" s="76"/>
    </row>
    <row r="1835" spans="2:12" ht="12" x14ac:dyDescent="0.15">
      <c r="B1835" s="121">
        <v>13</v>
      </c>
      <c r="C1835" s="167" t="s">
        <v>70</v>
      </c>
      <c r="D1835" s="168" t="s">
        <v>1516</v>
      </c>
      <c r="E1835" s="168" t="s">
        <v>770</v>
      </c>
      <c r="F1835" s="169" t="s">
        <v>770</v>
      </c>
      <c r="G1835" s="122" t="s">
        <v>770</v>
      </c>
      <c r="H1835" s="170">
        <v>1877318.7080000001</v>
      </c>
      <c r="I1835" s="168" t="s">
        <v>1200</v>
      </c>
      <c r="J1835" s="168" t="s">
        <v>770</v>
      </c>
      <c r="L1835" s="76"/>
    </row>
    <row r="1836" spans="2:12" ht="12" x14ac:dyDescent="0.15">
      <c r="B1836" s="121">
        <v>13</v>
      </c>
      <c r="C1836" s="167" t="s">
        <v>70</v>
      </c>
      <c r="D1836" s="168" t="s">
        <v>1511</v>
      </c>
      <c r="E1836" s="168" t="s">
        <v>770</v>
      </c>
      <c r="F1836" s="169" t="s">
        <v>770</v>
      </c>
      <c r="G1836" s="122" t="s">
        <v>770</v>
      </c>
      <c r="H1836" s="170">
        <v>-4809688.9869999997</v>
      </c>
      <c r="I1836" s="168" t="s">
        <v>1200</v>
      </c>
      <c r="J1836" s="168" t="s">
        <v>770</v>
      </c>
      <c r="L1836" s="76"/>
    </row>
    <row r="1837" spans="2:12" ht="12" x14ac:dyDescent="0.15">
      <c r="B1837" s="121">
        <v>13</v>
      </c>
      <c r="C1837" s="167" t="s">
        <v>70</v>
      </c>
      <c r="D1837" s="168" t="s">
        <v>1516</v>
      </c>
      <c r="E1837" s="168" t="s">
        <v>770</v>
      </c>
      <c r="F1837" s="169" t="s">
        <v>770</v>
      </c>
      <c r="G1837" s="122" t="s">
        <v>770</v>
      </c>
      <c r="H1837" s="170">
        <v>-1877318.7080000001</v>
      </c>
      <c r="I1837" s="168" t="s">
        <v>1200</v>
      </c>
      <c r="J1837" s="168" t="s">
        <v>770</v>
      </c>
      <c r="L1837" s="76"/>
    </row>
    <row r="1838" spans="2:12" ht="12" x14ac:dyDescent="0.15">
      <c r="B1838" s="121">
        <v>13</v>
      </c>
      <c r="C1838" s="167" t="s">
        <v>70</v>
      </c>
      <c r="D1838" s="168" t="s">
        <v>1511</v>
      </c>
      <c r="E1838" s="168" t="s">
        <v>770</v>
      </c>
      <c r="F1838" s="169" t="s">
        <v>770</v>
      </c>
      <c r="G1838" s="122" t="s">
        <v>770</v>
      </c>
      <c r="H1838" s="170">
        <v>4809688.9869999997</v>
      </c>
      <c r="I1838" s="168" t="s">
        <v>1200</v>
      </c>
      <c r="J1838" s="168" t="s">
        <v>770</v>
      </c>
      <c r="L1838" s="76"/>
    </row>
    <row r="1839" spans="2:12" ht="12" x14ac:dyDescent="0.15">
      <c r="B1839" s="121">
        <v>13</v>
      </c>
      <c r="C1839" s="167" t="s">
        <v>70</v>
      </c>
      <c r="D1839" s="168" t="s">
        <v>1516</v>
      </c>
      <c r="E1839" s="168" t="s">
        <v>770</v>
      </c>
      <c r="F1839" s="169" t="s">
        <v>770</v>
      </c>
      <c r="G1839" s="122" t="s">
        <v>770</v>
      </c>
      <c r="H1839" s="170">
        <v>1877318.7080000001</v>
      </c>
      <c r="I1839" s="168" t="s">
        <v>1200</v>
      </c>
      <c r="J1839" s="168" t="s">
        <v>770</v>
      </c>
      <c r="L1839" s="76"/>
    </row>
    <row r="1840" spans="2:12" ht="12" x14ac:dyDescent="0.15">
      <c r="B1840" s="121">
        <v>13</v>
      </c>
      <c r="C1840" s="167" t="s">
        <v>70</v>
      </c>
      <c r="D1840" s="168" t="s">
        <v>1509</v>
      </c>
      <c r="E1840" s="168" t="s">
        <v>770</v>
      </c>
      <c r="F1840" s="169" t="s">
        <v>770</v>
      </c>
      <c r="G1840" s="122" t="s">
        <v>770</v>
      </c>
      <c r="H1840" s="170">
        <v>-4809688.9869999997</v>
      </c>
      <c r="I1840" s="168" t="s">
        <v>1200</v>
      </c>
      <c r="J1840" s="168" t="s">
        <v>770</v>
      </c>
      <c r="L1840" s="76"/>
    </row>
    <row r="1841" spans="2:12" ht="12" x14ac:dyDescent="0.15">
      <c r="B1841" s="121">
        <v>13</v>
      </c>
      <c r="C1841" s="167" t="s">
        <v>70</v>
      </c>
      <c r="D1841" s="168" t="s">
        <v>1517</v>
      </c>
      <c r="E1841" s="168" t="s">
        <v>770</v>
      </c>
      <c r="F1841" s="169" t="s">
        <v>770</v>
      </c>
      <c r="G1841" s="122" t="s">
        <v>770</v>
      </c>
      <c r="H1841" s="170">
        <v>-1877318.7080000001</v>
      </c>
      <c r="I1841" s="168" t="s">
        <v>1200</v>
      </c>
      <c r="J1841" s="168" t="s">
        <v>770</v>
      </c>
      <c r="L1841" s="76"/>
    </row>
    <row r="1842" spans="2:12" ht="12" x14ac:dyDescent="0.15">
      <c r="B1842" s="121">
        <v>13</v>
      </c>
      <c r="C1842" s="167" t="s">
        <v>70</v>
      </c>
      <c r="D1842" s="168" t="s">
        <v>1518</v>
      </c>
      <c r="E1842" s="168" t="s">
        <v>770</v>
      </c>
      <c r="F1842" s="169" t="s">
        <v>770</v>
      </c>
      <c r="G1842" s="122" t="s">
        <v>770</v>
      </c>
      <c r="H1842" s="170">
        <v>3199484.1490000002</v>
      </c>
      <c r="I1842" s="168" t="s">
        <v>1200</v>
      </c>
      <c r="J1842" s="168" t="s">
        <v>770</v>
      </c>
      <c r="L1842" s="76"/>
    </row>
    <row r="1843" spans="2:12" ht="12" x14ac:dyDescent="0.15">
      <c r="B1843" s="121">
        <v>13</v>
      </c>
      <c r="C1843" s="167" t="s">
        <v>70</v>
      </c>
      <c r="D1843" s="168" t="s">
        <v>1519</v>
      </c>
      <c r="E1843" s="168" t="s">
        <v>770</v>
      </c>
      <c r="F1843" s="169" t="s">
        <v>770</v>
      </c>
      <c r="G1843" s="122" t="s">
        <v>770</v>
      </c>
      <c r="H1843" s="170">
        <v>-3199484.1490000002</v>
      </c>
      <c r="I1843" s="168" t="s">
        <v>1200</v>
      </c>
      <c r="J1843" s="168" t="s">
        <v>770</v>
      </c>
      <c r="L1843" s="76"/>
    </row>
    <row r="1844" spans="2:12" ht="12" x14ac:dyDescent="0.15">
      <c r="B1844" s="121">
        <v>13</v>
      </c>
      <c r="C1844" s="167" t="s">
        <v>70</v>
      </c>
      <c r="D1844" s="168" t="s">
        <v>1520</v>
      </c>
      <c r="E1844" s="168" t="s">
        <v>770</v>
      </c>
      <c r="F1844" s="169" t="s">
        <v>770</v>
      </c>
      <c r="G1844" s="122" t="s">
        <v>770</v>
      </c>
      <c r="H1844" s="170">
        <v>9348117.5710000005</v>
      </c>
      <c r="I1844" s="168" t="s">
        <v>1200</v>
      </c>
      <c r="J1844" s="168" t="s">
        <v>770</v>
      </c>
      <c r="L1844" s="76"/>
    </row>
    <row r="1845" spans="2:12" ht="12" x14ac:dyDescent="0.15">
      <c r="B1845" s="121">
        <v>13</v>
      </c>
      <c r="C1845" s="167" t="s">
        <v>70</v>
      </c>
      <c r="D1845" s="168" t="s">
        <v>1521</v>
      </c>
      <c r="E1845" s="168" t="s">
        <v>770</v>
      </c>
      <c r="F1845" s="169" t="s">
        <v>770</v>
      </c>
      <c r="G1845" s="122" t="s">
        <v>770</v>
      </c>
      <c r="H1845" s="170">
        <v>-9348117.5710000005</v>
      </c>
      <c r="I1845" s="168" t="s">
        <v>1200</v>
      </c>
      <c r="J1845" s="168" t="s">
        <v>770</v>
      </c>
      <c r="L1845" s="76"/>
    </row>
    <row r="1846" spans="2:12" ht="12" x14ac:dyDescent="0.15">
      <c r="B1846" s="121">
        <v>13</v>
      </c>
      <c r="C1846" s="167" t="s">
        <v>70</v>
      </c>
      <c r="D1846" s="168" t="s">
        <v>1511</v>
      </c>
      <c r="E1846" s="168" t="s">
        <v>770</v>
      </c>
      <c r="F1846" s="169" t="s">
        <v>770</v>
      </c>
      <c r="G1846" s="122" t="s">
        <v>770</v>
      </c>
      <c r="H1846" s="170">
        <v>4431390.1740000006</v>
      </c>
      <c r="I1846" s="168" t="s">
        <v>1200</v>
      </c>
      <c r="J1846" s="168" t="s">
        <v>770</v>
      </c>
      <c r="L1846" s="76"/>
    </row>
    <row r="1847" spans="2:12" ht="12" x14ac:dyDescent="0.15">
      <c r="B1847" s="121">
        <v>13</v>
      </c>
      <c r="C1847" s="167" t="s">
        <v>70</v>
      </c>
      <c r="D1847" s="168" t="s">
        <v>1522</v>
      </c>
      <c r="E1847" s="168" t="s">
        <v>770</v>
      </c>
      <c r="F1847" s="169" t="s">
        <v>770</v>
      </c>
      <c r="G1847" s="122" t="s">
        <v>770</v>
      </c>
      <c r="H1847" s="170">
        <v>19239141.671999998</v>
      </c>
      <c r="I1847" s="168" t="s">
        <v>1200</v>
      </c>
      <c r="J1847" s="168" t="s">
        <v>770</v>
      </c>
      <c r="L1847" s="76"/>
    </row>
    <row r="1848" spans="2:12" ht="12" x14ac:dyDescent="0.15">
      <c r="B1848" s="121">
        <v>13</v>
      </c>
      <c r="C1848" s="167" t="s">
        <v>70</v>
      </c>
      <c r="D1848" s="168" t="s">
        <v>1522</v>
      </c>
      <c r="E1848" s="168" t="s">
        <v>770</v>
      </c>
      <c r="F1848" s="169" t="s">
        <v>770</v>
      </c>
      <c r="G1848" s="122" t="s">
        <v>770</v>
      </c>
      <c r="H1848" s="170">
        <v>-19239141.671999998</v>
      </c>
      <c r="I1848" s="168" t="s">
        <v>1200</v>
      </c>
      <c r="J1848" s="168" t="s">
        <v>770</v>
      </c>
      <c r="L1848" s="76"/>
    </row>
    <row r="1849" spans="2:12" ht="12" x14ac:dyDescent="0.15">
      <c r="B1849" s="121">
        <v>13</v>
      </c>
      <c r="C1849" s="167" t="s">
        <v>70</v>
      </c>
      <c r="D1849" s="168" t="s">
        <v>1522</v>
      </c>
      <c r="E1849" s="168" t="s">
        <v>770</v>
      </c>
      <c r="F1849" s="169" t="s">
        <v>770</v>
      </c>
      <c r="G1849" s="122" t="s">
        <v>770</v>
      </c>
      <c r="H1849" s="170">
        <v>1481662.3150000002</v>
      </c>
      <c r="I1849" s="168" t="s">
        <v>1200</v>
      </c>
      <c r="J1849" s="168" t="s">
        <v>770</v>
      </c>
      <c r="L1849" s="76"/>
    </row>
    <row r="1850" spans="2:12" ht="12" x14ac:dyDescent="0.15">
      <c r="B1850" s="121">
        <v>13</v>
      </c>
      <c r="C1850" s="167" t="s">
        <v>70</v>
      </c>
      <c r="D1850" s="168" t="s">
        <v>1523</v>
      </c>
      <c r="E1850" s="168" t="s">
        <v>770</v>
      </c>
      <c r="F1850" s="169" t="s">
        <v>770</v>
      </c>
      <c r="G1850" s="122" t="s">
        <v>770</v>
      </c>
      <c r="H1850" s="170">
        <v>-1481662.3150000002</v>
      </c>
      <c r="I1850" s="168" t="s">
        <v>1200</v>
      </c>
      <c r="J1850" s="168" t="s">
        <v>770</v>
      </c>
      <c r="L1850" s="76"/>
    </row>
    <row r="1851" spans="2:12" ht="12" x14ac:dyDescent="0.15">
      <c r="B1851" s="121">
        <v>13</v>
      </c>
      <c r="C1851" s="167" t="s">
        <v>70</v>
      </c>
      <c r="D1851" s="168" t="s">
        <v>1509</v>
      </c>
      <c r="E1851" s="168" t="s">
        <v>770</v>
      </c>
      <c r="F1851" s="169" t="s">
        <v>770</v>
      </c>
      <c r="G1851" s="122" t="s">
        <v>770</v>
      </c>
      <c r="H1851" s="170">
        <v>-4431390.1740000006</v>
      </c>
      <c r="I1851" s="168" t="s">
        <v>1200</v>
      </c>
      <c r="J1851" s="168" t="s">
        <v>770</v>
      </c>
      <c r="L1851" s="76"/>
    </row>
    <row r="1852" spans="2:12" ht="12" x14ac:dyDescent="0.15">
      <c r="B1852" s="121">
        <v>13</v>
      </c>
      <c r="C1852" s="167" t="s">
        <v>70</v>
      </c>
      <c r="D1852" s="168" t="s">
        <v>1523</v>
      </c>
      <c r="E1852" s="168" t="s">
        <v>770</v>
      </c>
      <c r="F1852" s="169" t="s">
        <v>770</v>
      </c>
      <c r="G1852" s="122" t="s">
        <v>770</v>
      </c>
      <c r="H1852" s="170">
        <v>-19239141.671999998</v>
      </c>
      <c r="I1852" s="168" t="s">
        <v>1200</v>
      </c>
      <c r="J1852" s="168" t="s">
        <v>770</v>
      </c>
      <c r="L1852" s="76"/>
    </row>
    <row r="1853" spans="2:12" ht="12" x14ac:dyDescent="0.15">
      <c r="B1853" s="121">
        <v>13</v>
      </c>
      <c r="C1853" s="167" t="s">
        <v>70</v>
      </c>
      <c r="D1853" s="168" t="s">
        <v>1524</v>
      </c>
      <c r="E1853" s="168" t="s">
        <v>770</v>
      </c>
      <c r="F1853" s="169" t="s">
        <v>770</v>
      </c>
      <c r="G1853" s="122" t="s">
        <v>770</v>
      </c>
      <c r="H1853" s="170">
        <v>15397523.494000001</v>
      </c>
      <c r="I1853" s="168" t="s">
        <v>1200</v>
      </c>
      <c r="J1853" s="168" t="s">
        <v>770</v>
      </c>
      <c r="L1853" s="76"/>
    </row>
    <row r="1854" spans="2:12" ht="12" x14ac:dyDescent="0.15">
      <c r="B1854" s="121">
        <v>13</v>
      </c>
      <c r="C1854" s="167" t="s">
        <v>70</v>
      </c>
      <c r="D1854" s="168" t="s">
        <v>1525</v>
      </c>
      <c r="E1854" s="168" t="s">
        <v>770</v>
      </c>
      <c r="F1854" s="169" t="s">
        <v>770</v>
      </c>
      <c r="G1854" s="122" t="s">
        <v>770</v>
      </c>
      <c r="H1854" s="170">
        <v>-15397523.494000001</v>
      </c>
      <c r="I1854" s="168" t="s">
        <v>1200</v>
      </c>
      <c r="J1854" s="168" t="s">
        <v>770</v>
      </c>
      <c r="L1854" s="76"/>
    </row>
    <row r="1855" spans="2:12" ht="12" x14ac:dyDescent="0.15">
      <c r="B1855" s="121">
        <v>13</v>
      </c>
      <c r="C1855" s="167" t="s">
        <v>70</v>
      </c>
      <c r="D1855" s="168" t="s">
        <v>1526</v>
      </c>
      <c r="E1855" s="168" t="s">
        <v>770</v>
      </c>
      <c r="F1855" s="169" t="s">
        <v>770</v>
      </c>
      <c r="G1855" s="122" t="s">
        <v>770</v>
      </c>
      <c r="H1855" s="170">
        <v>22619626.807999998</v>
      </c>
      <c r="I1855" s="168" t="s">
        <v>1200</v>
      </c>
      <c r="J1855" s="168" t="s">
        <v>770</v>
      </c>
      <c r="L1855" s="76"/>
    </row>
    <row r="1856" spans="2:12" ht="12" x14ac:dyDescent="0.15">
      <c r="B1856" s="121">
        <v>13</v>
      </c>
      <c r="C1856" s="167" t="s">
        <v>70</v>
      </c>
      <c r="D1856" s="168" t="s">
        <v>1526</v>
      </c>
      <c r="E1856" s="168" t="s">
        <v>770</v>
      </c>
      <c r="F1856" s="169" t="s">
        <v>770</v>
      </c>
      <c r="G1856" s="122" t="s">
        <v>770</v>
      </c>
      <c r="H1856" s="170">
        <v>-24991829.408</v>
      </c>
      <c r="I1856" s="168" t="s">
        <v>1200</v>
      </c>
      <c r="J1856" s="168" t="s">
        <v>770</v>
      </c>
      <c r="L1856" s="76"/>
    </row>
    <row r="1857" spans="2:12" ht="12" x14ac:dyDescent="0.15">
      <c r="B1857" s="121">
        <v>13</v>
      </c>
      <c r="C1857" s="167" t="s">
        <v>70</v>
      </c>
      <c r="D1857" s="168" t="s">
        <v>1527</v>
      </c>
      <c r="E1857" s="168" t="s">
        <v>770</v>
      </c>
      <c r="F1857" s="169" t="s">
        <v>770</v>
      </c>
      <c r="G1857" s="122" t="s">
        <v>770</v>
      </c>
      <c r="H1857" s="170">
        <v>-22619626.807999998</v>
      </c>
      <c r="I1857" s="168" t="s">
        <v>1200</v>
      </c>
      <c r="J1857" s="168" t="s">
        <v>770</v>
      </c>
      <c r="L1857" s="76"/>
    </row>
    <row r="1858" spans="2:12" ht="12" x14ac:dyDescent="0.15">
      <c r="B1858" s="121">
        <v>13</v>
      </c>
      <c r="C1858" s="167" t="s">
        <v>70</v>
      </c>
      <c r="D1858" s="168" t="s">
        <v>1528</v>
      </c>
      <c r="E1858" s="168" t="s">
        <v>770</v>
      </c>
      <c r="F1858" s="169" t="s">
        <v>770</v>
      </c>
      <c r="G1858" s="122" t="s">
        <v>770</v>
      </c>
      <c r="H1858" s="170">
        <v>13709209.546000002</v>
      </c>
      <c r="I1858" s="168" t="s">
        <v>1200</v>
      </c>
      <c r="J1858" s="168" t="s">
        <v>770</v>
      </c>
      <c r="L1858" s="76"/>
    </row>
    <row r="1859" spans="2:12" ht="12" x14ac:dyDescent="0.15">
      <c r="B1859" s="121">
        <v>13</v>
      </c>
      <c r="C1859" s="167" t="s">
        <v>70</v>
      </c>
      <c r="D1859" s="168" t="s">
        <v>1528</v>
      </c>
      <c r="E1859" s="168" t="s">
        <v>770</v>
      </c>
      <c r="F1859" s="169" t="s">
        <v>770</v>
      </c>
      <c r="G1859" s="122" t="s">
        <v>770</v>
      </c>
      <c r="H1859" s="170">
        <v>-13709209.546000002</v>
      </c>
      <c r="I1859" s="168" t="s">
        <v>1200</v>
      </c>
      <c r="J1859" s="168" t="s">
        <v>770</v>
      </c>
      <c r="L1859" s="76"/>
    </row>
    <row r="1860" spans="2:12" ht="12" x14ac:dyDescent="0.15">
      <c r="B1860" s="121">
        <v>13</v>
      </c>
      <c r="C1860" s="167" t="s">
        <v>70</v>
      </c>
      <c r="D1860" s="168" t="s">
        <v>1529</v>
      </c>
      <c r="E1860" s="168" t="s">
        <v>770</v>
      </c>
      <c r="F1860" s="169" t="s">
        <v>770</v>
      </c>
      <c r="G1860" s="122" t="s">
        <v>770</v>
      </c>
      <c r="H1860" s="170">
        <v>19960831.276000001</v>
      </c>
      <c r="I1860" s="168" t="s">
        <v>1200</v>
      </c>
      <c r="J1860" s="168" t="s">
        <v>770</v>
      </c>
      <c r="L1860" s="76"/>
    </row>
    <row r="1861" spans="2:12" ht="12" x14ac:dyDescent="0.15">
      <c r="B1861" s="121">
        <v>13</v>
      </c>
      <c r="C1861" s="167" t="s">
        <v>70</v>
      </c>
      <c r="D1861" s="168" t="s">
        <v>1529</v>
      </c>
      <c r="E1861" s="168" t="s">
        <v>770</v>
      </c>
      <c r="F1861" s="169" t="s">
        <v>770</v>
      </c>
      <c r="G1861" s="122" t="s">
        <v>770</v>
      </c>
      <c r="H1861" s="170">
        <v>-15157603.165999999</v>
      </c>
      <c r="I1861" s="168" t="s">
        <v>1200</v>
      </c>
      <c r="J1861" s="168" t="s">
        <v>770</v>
      </c>
      <c r="L1861" s="76"/>
    </row>
    <row r="1862" spans="2:12" ht="12" x14ac:dyDescent="0.15">
      <c r="B1862" s="121">
        <v>13</v>
      </c>
      <c r="C1862" s="167" t="s">
        <v>70</v>
      </c>
      <c r="D1862" s="168" t="s">
        <v>1529</v>
      </c>
      <c r="E1862" s="168" t="s">
        <v>770</v>
      </c>
      <c r="F1862" s="169" t="s">
        <v>770</v>
      </c>
      <c r="G1862" s="122" t="s">
        <v>770</v>
      </c>
      <c r="H1862" s="170">
        <v>-19960831.276000001</v>
      </c>
      <c r="I1862" s="168" t="s">
        <v>1200</v>
      </c>
      <c r="J1862" s="168" t="s">
        <v>770</v>
      </c>
      <c r="L1862" s="76"/>
    </row>
    <row r="1863" spans="2:12" ht="12" x14ac:dyDescent="0.15">
      <c r="B1863" s="121">
        <v>13</v>
      </c>
      <c r="C1863" s="167" t="s">
        <v>70</v>
      </c>
      <c r="D1863" s="168" t="s">
        <v>1530</v>
      </c>
      <c r="E1863" s="168" t="s">
        <v>770</v>
      </c>
      <c r="F1863" s="169" t="s">
        <v>770</v>
      </c>
      <c r="G1863" s="122" t="s">
        <v>770</v>
      </c>
      <c r="H1863" s="170">
        <v>13485007.471000001</v>
      </c>
      <c r="I1863" s="168" t="s">
        <v>1200</v>
      </c>
      <c r="J1863" s="168" t="s">
        <v>770</v>
      </c>
      <c r="L1863" s="76"/>
    </row>
    <row r="1864" spans="2:12" ht="12" x14ac:dyDescent="0.15">
      <c r="B1864" s="121">
        <v>13</v>
      </c>
      <c r="C1864" s="167" t="s">
        <v>70</v>
      </c>
      <c r="D1864" s="168" t="s">
        <v>1530</v>
      </c>
      <c r="E1864" s="168" t="s">
        <v>770</v>
      </c>
      <c r="F1864" s="169" t="s">
        <v>770</v>
      </c>
      <c r="G1864" s="122" t="s">
        <v>770</v>
      </c>
      <c r="H1864" s="170">
        <v>-13485007.471000001</v>
      </c>
      <c r="I1864" s="168" t="s">
        <v>1200</v>
      </c>
      <c r="J1864" s="168" t="s">
        <v>770</v>
      </c>
      <c r="L1864" s="76"/>
    </row>
    <row r="1865" spans="2:12" ht="12" x14ac:dyDescent="0.15">
      <c r="B1865" s="121">
        <v>13</v>
      </c>
      <c r="C1865" s="167" t="s">
        <v>70</v>
      </c>
      <c r="D1865" s="168" t="s">
        <v>1530</v>
      </c>
      <c r="E1865" s="168" t="s">
        <v>770</v>
      </c>
      <c r="F1865" s="169" t="s">
        <v>770</v>
      </c>
      <c r="G1865" s="122" t="s">
        <v>770</v>
      </c>
      <c r="H1865" s="170">
        <v>13485007.471000001</v>
      </c>
      <c r="I1865" s="168" t="s">
        <v>1200</v>
      </c>
      <c r="J1865" s="168" t="s">
        <v>770</v>
      </c>
      <c r="L1865" s="76"/>
    </row>
    <row r="1866" spans="2:12" ht="12" x14ac:dyDescent="0.15">
      <c r="B1866" s="121">
        <v>13</v>
      </c>
      <c r="C1866" s="167" t="s">
        <v>70</v>
      </c>
      <c r="D1866" s="168" t="s">
        <v>1530</v>
      </c>
      <c r="E1866" s="168" t="s">
        <v>770</v>
      </c>
      <c r="F1866" s="169" t="s">
        <v>770</v>
      </c>
      <c r="G1866" s="122" t="s">
        <v>770</v>
      </c>
      <c r="H1866" s="170">
        <v>-13485007.471000001</v>
      </c>
      <c r="I1866" s="168" t="s">
        <v>1200</v>
      </c>
      <c r="J1866" s="168" t="s">
        <v>770</v>
      </c>
      <c r="L1866" s="76"/>
    </row>
    <row r="1867" spans="2:12" ht="12" x14ac:dyDescent="0.15">
      <c r="B1867" s="121">
        <v>13</v>
      </c>
      <c r="C1867" s="167" t="s">
        <v>70</v>
      </c>
      <c r="D1867" s="168" t="s">
        <v>1530</v>
      </c>
      <c r="E1867" s="168" t="s">
        <v>770</v>
      </c>
      <c r="F1867" s="169" t="s">
        <v>770</v>
      </c>
      <c r="G1867" s="122" t="s">
        <v>770</v>
      </c>
      <c r="H1867" s="170">
        <v>-13485007.471000001</v>
      </c>
      <c r="I1867" s="168" t="s">
        <v>1200</v>
      </c>
      <c r="J1867" s="168" t="s">
        <v>770</v>
      </c>
      <c r="L1867" s="76"/>
    </row>
    <row r="1868" spans="2:12" ht="12" x14ac:dyDescent="0.15">
      <c r="B1868" s="121">
        <v>13</v>
      </c>
      <c r="C1868" s="167" t="s">
        <v>70</v>
      </c>
      <c r="D1868" s="168" t="s">
        <v>1531</v>
      </c>
      <c r="E1868" s="168" t="s">
        <v>770</v>
      </c>
      <c r="F1868" s="169" t="s">
        <v>770</v>
      </c>
      <c r="G1868" s="122" t="s">
        <v>770</v>
      </c>
      <c r="H1868" s="170">
        <v>6275536.6179999998</v>
      </c>
      <c r="I1868" s="168" t="s">
        <v>1200</v>
      </c>
      <c r="J1868" s="168" t="s">
        <v>770</v>
      </c>
      <c r="L1868" s="76"/>
    </row>
    <row r="1869" spans="2:12" ht="12" x14ac:dyDescent="0.15">
      <c r="B1869" s="121">
        <v>13</v>
      </c>
      <c r="C1869" s="167" t="s">
        <v>70</v>
      </c>
      <c r="D1869" s="168" t="s">
        <v>1299</v>
      </c>
      <c r="E1869" s="168" t="s">
        <v>770</v>
      </c>
      <c r="F1869" s="169" t="s">
        <v>770</v>
      </c>
      <c r="G1869" s="122" t="s">
        <v>770</v>
      </c>
      <c r="H1869" s="170">
        <v>-7332516.8090000004</v>
      </c>
      <c r="I1869" s="168" t="s">
        <v>1200</v>
      </c>
      <c r="J1869" s="168" t="s">
        <v>770</v>
      </c>
      <c r="L1869" s="76"/>
    </row>
    <row r="1870" spans="2:12" ht="12" x14ac:dyDescent="0.15">
      <c r="B1870" s="121">
        <v>13</v>
      </c>
      <c r="C1870" s="167" t="s">
        <v>70</v>
      </c>
      <c r="D1870" s="168" t="s">
        <v>1121</v>
      </c>
      <c r="E1870" s="168" t="s">
        <v>770</v>
      </c>
      <c r="F1870" s="169" t="s">
        <v>770</v>
      </c>
      <c r="G1870" s="122" t="s">
        <v>770</v>
      </c>
      <c r="H1870" s="170">
        <v>-38572.400000000001</v>
      </c>
      <c r="I1870" s="168" t="s">
        <v>1200</v>
      </c>
      <c r="J1870" s="168" t="s">
        <v>770</v>
      </c>
      <c r="L1870" s="76"/>
    </row>
    <row r="1871" spans="2:12" ht="12" x14ac:dyDescent="0.15">
      <c r="B1871" s="121">
        <v>13</v>
      </c>
      <c r="C1871" s="167" t="s">
        <v>70</v>
      </c>
      <c r="D1871" s="168" t="s">
        <v>1121</v>
      </c>
      <c r="E1871" s="168" t="s">
        <v>770</v>
      </c>
      <c r="F1871" s="169" t="s">
        <v>770</v>
      </c>
      <c r="G1871" s="122" t="s">
        <v>770</v>
      </c>
      <c r="H1871" s="170">
        <v>-35679.47</v>
      </c>
      <c r="I1871" s="168" t="s">
        <v>1200</v>
      </c>
      <c r="J1871" s="168" t="s">
        <v>770</v>
      </c>
      <c r="L1871" s="76"/>
    </row>
    <row r="1872" spans="2:12" ht="12" x14ac:dyDescent="0.15">
      <c r="B1872" s="121">
        <v>13</v>
      </c>
      <c r="C1872" s="167" t="s">
        <v>70</v>
      </c>
      <c r="D1872" s="168" t="s">
        <v>1121</v>
      </c>
      <c r="E1872" s="168" t="s">
        <v>770</v>
      </c>
      <c r="F1872" s="169" t="s">
        <v>770</v>
      </c>
      <c r="G1872" s="122" t="s">
        <v>770</v>
      </c>
      <c r="H1872" s="170">
        <v>-45515.432000000001</v>
      </c>
      <c r="I1872" s="168" t="s">
        <v>1200</v>
      </c>
      <c r="J1872" s="168" t="s">
        <v>770</v>
      </c>
      <c r="L1872" s="76"/>
    </row>
    <row r="1873" spans="2:12" ht="12" x14ac:dyDescent="0.15">
      <c r="B1873" s="121">
        <v>13</v>
      </c>
      <c r="C1873" s="167" t="s">
        <v>70</v>
      </c>
      <c r="D1873" s="168" t="s">
        <v>1121</v>
      </c>
      <c r="E1873" s="168" t="s">
        <v>770</v>
      </c>
      <c r="F1873" s="169" t="s">
        <v>770</v>
      </c>
      <c r="G1873" s="122" t="s">
        <v>770</v>
      </c>
      <c r="H1873" s="170">
        <v>-385724</v>
      </c>
      <c r="I1873" s="168" t="s">
        <v>1200</v>
      </c>
      <c r="J1873" s="168" t="s">
        <v>770</v>
      </c>
      <c r="L1873" s="76"/>
    </row>
    <row r="1874" spans="2:12" ht="12" x14ac:dyDescent="0.15">
      <c r="B1874" s="121">
        <v>13</v>
      </c>
      <c r="C1874" s="167" t="s">
        <v>70</v>
      </c>
      <c r="D1874" s="168" t="s">
        <v>1121</v>
      </c>
      <c r="E1874" s="168" t="s">
        <v>770</v>
      </c>
      <c r="F1874" s="169" t="s">
        <v>770</v>
      </c>
      <c r="G1874" s="122" t="s">
        <v>770</v>
      </c>
      <c r="H1874" s="170">
        <v>-332686.95</v>
      </c>
      <c r="I1874" s="168" t="s">
        <v>1200</v>
      </c>
      <c r="J1874" s="168" t="s">
        <v>770</v>
      </c>
      <c r="L1874" s="76"/>
    </row>
    <row r="1875" spans="2:12" ht="12" x14ac:dyDescent="0.15">
      <c r="B1875" s="121">
        <v>13</v>
      </c>
      <c r="C1875" s="167" t="s">
        <v>70</v>
      </c>
      <c r="D1875" s="168" t="s">
        <v>1137</v>
      </c>
      <c r="E1875" s="168" t="s">
        <v>770</v>
      </c>
      <c r="F1875" s="169" t="s">
        <v>770</v>
      </c>
      <c r="G1875" s="122" t="s">
        <v>770</v>
      </c>
      <c r="H1875" s="170">
        <v>-41658.192000000003</v>
      </c>
      <c r="I1875" s="168" t="s">
        <v>1200</v>
      </c>
      <c r="J1875" s="168" t="s">
        <v>770</v>
      </c>
      <c r="L1875" s="76"/>
    </row>
    <row r="1876" spans="2:12" ht="12" x14ac:dyDescent="0.15">
      <c r="B1876" s="121">
        <v>13</v>
      </c>
      <c r="C1876" s="167" t="s">
        <v>70</v>
      </c>
      <c r="D1876" s="168" t="s">
        <v>770</v>
      </c>
      <c r="E1876" s="168" t="s">
        <v>770</v>
      </c>
      <c r="F1876" s="169" t="s">
        <v>770</v>
      </c>
      <c r="G1876" s="122" t="s">
        <v>770</v>
      </c>
      <c r="H1876" s="170">
        <v>-12536030</v>
      </c>
      <c r="I1876" s="168" t="s">
        <v>1200</v>
      </c>
      <c r="J1876" s="168" t="s">
        <v>770</v>
      </c>
      <c r="L1876" s="76"/>
    </row>
    <row r="1877" spans="2:12" ht="12" x14ac:dyDescent="0.15">
      <c r="B1877" s="121">
        <v>13</v>
      </c>
      <c r="C1877" s="167" t="s">
        <v>70</v>
      </c>
      <c r="D1877" s="168" t="s">
        <v>770</v>
      </c>
      <c r="E1877" s="168" t="s">
        <v>770</v>
      </c>
      <c r="F1877" s="169" t="s">
        <v>770</v>
      </c>
      <c r="G1877" s="122" t="s">
        <v>770</v>
      </c>
      <c r="H1877" s="170">
        <v>-686588.72000000009</v>
      </c>
      <c r="I1877" s="168" t="s">
        <v>1200</v>
      </c>
      <c r="J1877" s="168" t="s">
        <v>770</v>
      </c>
      <c r="L1877" s="76"/>
    </row>
    <row r="1878" spans="2:12" ht="12" x14ac:dyDescent="0.15">
      <c r="B1878" s="121">
        <v>13</v>
      </c>
      <c r="C1878" s="167" t="s">
        <v>70</v>
      </c>
      <c r="D1878" s="168" t="s">
        <v>770</v>
      </c>
      <c r="E1878" s="168" t="s">
        <v>770</v>
      </c>
      <c r="F1878" s="169" t="s">
        <v>770</v>
      </c>
      <c r="G1878" s="122" t="s">
        <v>770</v>
      </c>
      <c r="H1878" s="170">
        <v>-4857325.9009999996</v>
      </c>
      <c r="I1878" s="168" t="s">
        <v>1200</v>
      </c>
      <c r="J1878" s="168" t="s">
        <v>770</v>
      </c>
      <c r="L1878" s="76"/>
    </row>
    <row r="1879" spans="2:12" ht="12" x14ac:dyDescent="0.15">
      <c r="B1879" s="121">
        <v>13</v>
      </c>
      <c r="C1879" s="167" t="s">
        <v>70</v>
      </c>
      <c r="D1879" s="168" t="s">
        <v>770</v>
      </c>
      <c r="E1879" s="168" t="s">
        <v>770</v>
      </c>
      <c r="F1879" s="169" t="s">
        <v>770</v>
      </c>
      <c r="G1879" s="122" t="s">
        <v>770</v>
      </c>
      <c r="H1879" s="170">
        <v>-827088.68700000003</v>
      </c>
      <c r="I1879" s="168" t="s">
        <v>1200</v>
      </c>
      <c r="J1879" s="168" t="s">
        <v>770</v>
      </c>
      <c r="L1879" s="76"/>
    </row>
    <row r="1880" spans="2:12" ht="12" x14ac:dyDescent="0.15">
      <c r="B1880" s="121">
        <v>13</v>
      </c>
      <c r="C1880" s="167" t="s">
        <v>70</v>
      </c>
      <c r="D1880" s="168" t="s">
        <v>770</v>
      </c>
      <c r="E1880" s="168" t="s">
        <v>770</v>
      </c>
      <c r="F1880" s="169" t="s">
        <v>770</v>
      </c>
      <c r="G1880" s="122" t="s">
        <v>770</v>
      </c>
      <c r="H1880" s="170">
        <v>534613.46400000004</v>
      </c>
      <c r="I1880" s="168" t="s">
        <v>1200</v>
      </c>
      <c r="J1880" s="168" t="s">
        <v>770</v>
      </c>
      <c r="L1880" s="76"/>
    </row>
    <row r="1881" spans="2:12" ht="12" x14ac:dyDescent="0.15">
      <c r="B1881" s="121">
        <v>13</v>
      </c>
      <c r="C1881" s="167" t="s">
        <v>70</v>
      </c>
      <c r="D1881" s="168" t="s">
        <v>1522</v>
      </c>
      <c r="E1881" s="168" t="s">
        <v>770</v>
      </c>
      <c r="F1881" s="169" t="s">
        <v>770</v>
      </c>
      <c r="G1881" s="122" t="s">
        <v>770</v>
      </c>
      <c r="H1881" s="170">
        <v>19239141.671999998</v>
      </c>
      <c r="I1881" s="168" t="s">
        <v>1200</v>
      </c>
      <c r="J1881" s="168" t="s">
        <v>770</v>
      </c>
      <c r="L1881" s="76"/>
    </row>
    <row r="1882" spans="2:12" ht="12" x14ac:dyDescent="0.15">
      <c r="B1882" s="121">
        <v>13</v>
      </c>
      <c r="C1882" s="167" t="s">
        <v>70</v>
      </c>
      <c r="D1882" s="168" t="s">
        <v>1499</v>
      </c>
      <c r="E1882" s="168" t="s">
        <v>770</v>
      </c>
      <c r="F1882" s="169" t="s">
        <v>770</v>
      </c>
      <c r="G1882" s="122" t="s">
        <v>770</v>
      </c>
      <c r="H1882" s="170">
        <v>48601.224000000002</v>
      </c>
      <c r="I1882" s="168" t="s">
        <v>1200</v>
      </c>
      <c r="J1882" s="168" t="s">
        <v>770</v>
      </c>
      <c r="L1882" s="76"/>
    </row>
    <row r="1883" spans="2:12" ht="12" x14ac:dyDescent="0.15">
      <c r="B1883" s="121">
        <v>13</v>
      </c>
      <c r="C1883" s="167" t="s">
        <v>70</v>
      </c>
      <c r="D1883" s="168" t="s">
        <v>1526</v>
      </c>
      <c r="E1883" s="168" t="s">
        <v>770</v>
      </c>
      <c r="F1883" s="169" t="s">
        <v>770</v>
      </c>
      <c r="G1883" s="122" t="s">
        <v>770</v>
      </c>
      <c r="H1883" s="170">
        <v>24991829.408</v>
      </c>
      <c r="I1883" s="168" t="s">
        <v>1200</v>
      </c>
      <c r="J1883" s="168" t="s">
        <v>770</v>
      </c>
      <c r="L1883" s="76"/>
    </row>
    <row r="1884" spans="2:12" ht="12" x14ac:dyDescent="0.15">
      <c r="B1884" s="121">
        <v>13</v>
      </c>
      <c r="C1884" s="167" t="s">
        <v>70</v>
      </c>
      <c r="D1884" s="168" t="s">
        <v>1529</v>
      </c>
      <c r="E1884" s="168" t="s">
        <v>770</v>
      </c>
      <c r="F1884" s="169" t="s">
        <v>770</v>
      </c>
      <c r="G1884" s="122" t="s">
        <v>770</v>
      </c>
      <c r="H1884" s="170">
        <v>15157603.165999999</v>
      </c>
      <c r="I1884" s="168" t="s">
        <v>1200</v>
      </c>
      <c r="J1884" s="168" t="s">
        <v>770</v>
      </c>
      <c r="L1884" s="76"/>
    </row>
    <row r="1885" spans="2:12" ht="12" x14ac:dyDescent="0.15">
      <c r="B1885" s="121">
        <v>13</v>
      </c>
      <c r="C1885" s="167" t="s">
        <v>70</v>
      </c>
      <c r="D1885" s="168" t="s">
        <v>1530</v>
      </c>
      <c r="E1885" s="168" t="s">
        <v>770</v>
      </c>
      <c r="F1885" s="169" t="s">
        <v>770</v>
      </c>
      <c r="G1885" s="122" t="s">
        <v>770</v>
      </c>
      <c r="H1885" s="170">
        <v>13485007.471000001</v>
      </c>
      <c r="I1885" s="168" t="s">
        <v>1200</v>
      </c>
      <c r="J1885" s="168" t="s">
        <v>770</v>
      </c>
      <c r="L1885" s="76"/>
    </row>
    <row r="1886" spans="2:12" ht="12" x14ac:dyDescent="0.15">
      <c r="B1886" s="121">
        <v>13</v>
      </c>
      <c r="C1886" s="167" t="s">
        <v>70</v>
      </c>
      <c r="D1886" s="168" t="s">
        <v>1299</v>
      </c>
      <c r="E1886" s="168" t="s">
        <v>770</v>
      </c>
      <c r="F1886" s="169" t="s">
        <v>770</v>
      </c>
      <c r="G1886" s="122" t="s">
        <v>770</v>
      </c>
      <c r="H1886" s="170">
        <v>7332516.8090000004</v>
      </c>
      <c r="I1886" s="168" t="s">
        <v>1200</v>
      </c>
      <c r="J1886" s="168" t="s">
        <v>770</v>
      </c>
      <c r="L1886" s="76"/>
    </row>
    <row r="1887" spans="2:12" ht="12" x14ac:dyDescent="0.15">
      <c r="B1887" s="121">
        <v>13</v>
      </c>
      <c r="C1887" s="167" t="s">
        <v>70</v>
      </c>
      <c r="D1887" s="168" t="s">
        <v>770</v>
      </c>
      <c r="E1887" s="168" t="s">
        <v>770</v>
      </c>
      <c r="F1887" s="169" t="s">
        <v>770</v>
      </c>
      <c r="G1887" s="122" t="s">
        <v>770</v>
      </c>
      <c r="H1887" s="170">
        <v>57858.600000000006</v>
      </c>
      <c r="I1887" s="168" t="s">
        <v>1200</v>
      </c>
      <c r="J1887" s="168" t="s">
        <v>770</v>
      </c>
      <c r="L1887" s="76"/>
    </row>
    <row r="1888" spans="2:12" ht="12" x14ac:dyDescent="0.15">
      <c r="B1888" s="121">
        <v>13</v>
      </c>
      <c r="C1888" s="167" t="s">
        <v>70</v>
      </c>
      <c r="D1888" s="168" t="s">
        <v>770</v>
      </c>
      <c r="E1888" s="168" t="s">
        <v>770</v>
      </c>
      <c r="F1888" s="169" t="s">
        <v>770</v>
      </c>
      <c r="G1888" s="122" t="s">
        <v>770</v>
      </c>
      <c r="H1888" s="170">
        <v>74637.594000000012</v>
      </c>
      <c r="I1888" s="168" t="s">
        <v>1200</v>
      </c>
      <c r="J1888" s="168" t="s">
        <v>770</v>
      </c>
      <c r="L1888" s="76"/>
    </row>
    <row r="1889" spans="2:12" ht="12" x14ac:dyDescent="0.15">
      <c r="B1889" s="121">
        <v>13</v>
      </c>
      <c r="C1889" s="167" t="s">
        <v>70</v>
      </c>
      <c r="D1889" s="168" t="s">
        <v>1501</v>
      </c>
      <c r="E1889" s="168" t="s">
        <v>770</v>
      </c>
      <c r="F1889" s="169" t="s">
        <v>770</v>
      </c>
      <c r="G1889" s="122" t="s">
        <v>770</v>
      </c>
      <c r="H1889" s="170">
        <v>2430254.0620000004</v>
      </c>
      <c r="I1889" s="168" t="s">
        <v>1200</v>
      </c>
      <c r="J1889" s="168" t="s">
        <v>770</v>
      </c>
      <c r="L1889" s="76"/>
    </row>
    <row r="1890" spans="2:12" ht="12" x14ac:dyDescent="0.15">
      <c r="B1890" s="121">
        <v>13</v>
      </c>
      <c r="C1890" s="167" t="s">
        <v>70</v>
      </c>
      <c r="D1890" s="168" t="s">
        <v>1498</v>
      </c>
      <c r="E1890" s="168" t="s">
        <v>770</v>
      </c>
      <c r="F1890" s="169" t="s">
        <v>770</v>
      </c>
      <c r="G1890" s="122" t="s">
        <v>770</v>
      </c>
      <c r="H1890" s="170">
        <v>-75505.472999999998</v>
      </c>
      <c r="I1890" s="168" t="s">
        <v>1200</v>
      </c>
      <c r="J1890" s="168" t="s">
        <v>770</v>
      </c>
      <c r="L1890" s="76"/>
    </row>
    <row r="1891" spans="2:12" ht="12" x14ac:dyDescent="0.15">
      <c r="B1891" s="121">
        <v>13</v>
      </c>
      <c r="C1891" s="167" t="s">
        <v>70</v>
      </c>
      <c r="D1891" s="168" t="s">
        <v>1229</v>
      </c>
      <c r="E1891" s="168" t="s">
        <v>770</v>
      </c>
      <c r="F1891" s="169" t="s">
        <v>770</v>
      </c>
      <c r="G1891" s="122" t="s">
        <v>770</v>
      </c>
      <c r="H1891" s="170">
        <v>208290.96000000002</v>
      </c>
      <c r="I1891" s="168" t="s">
        <v>1200</v>
      </c>
      <c r="J1891" s="168" t="s">
        <v>770</v>
      </c>
      <c r="L1891" s="76"/>
    </row>
    <row r="1892" spans="2:12" ht="12" x14ac:dyDescent="0.15">
      <c r="B1892" s="121">
        <v>13</v>
      </c>
      <c r="C1892" s="167" t="s">
        <v>70</v>
      </c>
      <c r="D1892" s="168" t="s">
        <v>1230</v>
      </c>
      <c r="E1892" s="168" t="s">
        <v>770</v>
      </c>
      <c r="F1892" s="169" t="s">
        <v>770</v>
      </c>
      <c r="G1892" s="122" t="s">
        <v>770</v>
      </c>
      <c r="H1892" s="170">
        <v>34715.160000000003</v>
      </c>
      <c r="I1892" s="168" t="s">
        <v>1200</v>
      </c>
      <c r="J1892" s="168" t="s">
        <v>770</v>
      </c>
      <c r="L1892" s="76"/>
    </row>
    <row r="1893" spans="2:12" ht="12" x14ac:dyDescent="0.15">
      <c r="B1893" s="121">
        <v>13</v>
      </c>
      <c r="C1893" s="167" t="s">
        <v>70</v>
      </c>
      <c r="D1893" s="168" t="s">
        <v>1211</v>
      </c>
      <c r="E1893" s="168" t="s">
        <v>770</v>
      </c>
      <c r="F1893" s="169" t="s">
        <v>770</v>
      </c>
      <c r="G1893" s="122" t="s">
        <v>770</v>
      </c>
      <c r="H1893" s="170">
        <v>231434.40000000002</v>
      </c>
      <c r="I1893" s="168" t="s">
        <v>1200</v>
      </c>
      <c r="J1893" s="168" t="s">
        <v>770</v>
      </c>
      <c r="L1893" s="76"/>
    </row>
    <row r="1894" spans="2:12" ht="12" x14ac:dyDescent="0.15">
      <c r="B1894" s="121">
        <v>13</v>
      </c>
      <c r="C1894" s="167" t="s">
        <v>70</v>
      </c>
      <c r="D1894" s="168" t="s">
        <v>1532</v>
      </c>
      <c r="E1894" s="168" t="s">
        <v>770</v>
      </c>
      <c r="F1894" s="169" t="s">
        <v>770</v>
      </c>
      <c r="G1894" s="122" t="s">
        <v>770</v>
      </c>
      <c r="H1894" s="170">
        <v>42142468.482000001</v>
      </c>
      <c r="I1894" s="168" t="s">
        <v>1200</v>
      </c>
      <c r="J1894" s="168" t="s">
        <v>770</v>
      </c>
      <c r="L1894" s="76"/>
    </row>
    <row r="1895" spans="2:12" ht="12" x14ac:dyDescent="0.15">
      <c r="B1895" s="121">
        <v>13</v>
      </c>
      <c r="C1895" s="167" t="s">
        <v>70</v>
      </c>
      <c r="D1895" s="168" t="s">
        <v>770</v>
      </c>
      <c r="E1895" s="168" t="s">
        <v>770</v>
      </c>
      <c r="F1895" s="169" t="s">
        <v>770</v>
      </c>
      <c r="G1895" s="122" t="s">
        <v>770</v>
      </c>
      <c r="H1895" s="170">
        <v>230277.228</v>
      </c>
      <c r="I1895" s="168" t="s">
        <v>1200</v>
      </c>
      <c r="J1895" s="168" t="s">
        <v>770</v>
      </c>
      <c r="L1895" s="76"/>
    </row>
    <row r="1896" spans="2:12" ht="12" x14ac:dyDescent="0.15">
      <c r="B1896" s="121">
        <v>13</v>
      </c>
      <c r="C1896" s="167" t="s">
        <v>70</v>
      </c>
      <c r="D1896" s="168" t="s">
        <v>1532</v>
      </c>
      <c r="E1896" s="168" t="s">
        <v>770</v>
      </c>
      <c r="F1896" s="169" t="s">
        <v>770</v>
      </c>
      <c r="G1896" s="122" t="s">
        <v>770</v>
      </c>
      <c r="H1896" s="170">
        <v>347151.60000000003</v>
      </c>
      <c r="I1896" s="168" t="s">
        <v>1200</v>
      </c>
      <c r="J1896" s="168" t="s">
        <v>770</v>
      </c>
      <c r="L1896" s="76"/>
    </row>
    <row r="1897" spans="2:12" ht="32.25" x14ac:dyDescent="0.15">
      <c r="B1897" s="123">
        <v>14</v>
      </c>
      <c r="C1897" s="164" t="s">
        <v>81</v>
      </c>
      <c r="D1897" s="125" t="s">
        <v>1533</v>
      </c>
      <c r="E1897" s="125" t="s">
        <v>792</v>
      </c>
      <c r="F1897" s="171">
        <v>44379</v>
      </c>
      <c r="G1897" s="120" t="s">
        <v>770</v>
      </c>
      <c r="H1897" s="163">
        <v>1000000</v>
      </c>
      <c r="I1897" s="125" t="s">
        <v>1534</v>
      </c>
      <c r="J1897" s="162" t="s">
        <v>770</v>
      </c>
    </row>
    <row r="1898" spans="2:12" ht="21.75" x14ac:dyDescent="0.15">
      <c r="B1898" s="123">
        <v>14</v>
      </c>
      <c r="C1898" s="164" t="s">
        <v>81</v>
      </c>
      <c r="D1898" s="125" t="s">
        <v>1535</v>
      </c>
      <c r="E1898" s="125" t="s">
        <v>792</v>
      </c>
      <c r="F1898" s="171">
        <v>44379</v>
      </c>
      <c r="G1898" s="171" t="s">
        <v>770</v>
      </c>
      <c r="H1898" s="163">
        <v>6000000</v>
      </c>
      <c r="I1898" s="162" t="s">
        <v>1536</v>
      </c>
      <c r="J1898" s="162" t="s">
        <v>770</v>
      </c>
    </row>
    <row r="1899" spans="2:12" ht="32.25" x14ac:dyDescent="0.15">
      <c r="B1899" s="123">
        <v>14</v>
      </c>
      <c r="C1899" s="164" t="s">
        <v>81</v>
      </c>
      <c r="D1899" s="125" t="s">
        <v>1537</v>
      </c>
      <c r="E1899" s="125" t="s">
        <v>792</v>
      </c>
      <c r="F1899" s="171">
        <v>44379</v>
      </c>
      <c r="G1899" s="171" t="s">
        <v>770</v>
      </c>
      <c r="H1899" s="163">
        <v>80000000</v>
      </c>
      <c r="I1899" s="162" t="s">
        <v>1538</v>
      </c>
      <c r="J1899" s="162" t="s">
        <v>770</v>
      </c>
    </row>
    <row r="1900" spans="2:12" ht="42.75" x14ac:dyDescent="0.15">
      <c r="B1900" s="123">
        <v>14</v>
      </c>
      <c r="C1900" s="164" t="s">
        <v>81</v>
      </c>
      <c r="D1900" s="125" t="s">
        <v>1539</v>
      </c>
      <c r="E1900" s="125" t="s">
        <v>792</v>
      </c>
      <c r="F1900" s="171">
        <v>44398</v>
      </c>
      <c r="G1900" s="171" t="s">
        <v>770</v>
      </c>
      <c r="H1900" s="163">
        <v>10000000</v>
      </c>
      <c r="I1900" s="162" t="s">
        <v>1540</v>
      </c>
      <c r="J1900" s="162" t="s">
        <v>770</v>
      </c>
    </row>
    <row r="1901" spans="2:12" ht="12" x14ac:dyDescent="0.15">
      <c r="B1901" s="123">
        <v>14</v>
      </c>
      <c r="C1901" s="164" t="s">
        <v>81</v>
      </c>
      <c r="D1901" s="125" t="s">
        <v>1541</v>
      </c>
      <c r="E1901" s="125" t="s">
        <v>792</v>
      </c>
      <c r="F1901" s="171">
        <v>44398</v>
      </c>
      <c r="G1901" s="171" t="s">
        <v>770</v>
      </c>
      <c r="H1901" s="163">
        <v>0</v>
      </c>
      <c r="I1901" s="162" t="s">
        <v>1542</v>
      </c>
      <c r="J1901" s="162">
        <v>116997000</v>
      </c>
    </row>
    <row r="1902" spans="2:12" ht="21.75" x14ac:dyDescent="0.15">
      <c r="B1902" s="123">
        <v>14</v>
      </c>
      <c r="C1902" s="164" t="s">
        <v>81</v>
      </c>
      <c r="D1902" s="125" t="s">
        <v>1543</v>
      </c>
      <c r="E1902" s="125" t="s">
        <v>792</v>
      </c>
      <c r="F1902" s="171">
        <v>44404</v>
      </c>
      <c r="G1902" s="171" t="s">
        <v>770</v>
      </c>
      <c r="H1902" s="163">
        <v>0</v>
      </c>
      <c r="I1902" s="162" t="s">
        <v>1544</v>
      </c>
      <c r="J1902" s="162">
        <v>190003000</v>
      </c>
    </row>
    <row r="1903" spans="2:12" ht="21.75" x14ac:dyDescent="0.15">
      <c r="B1903" s="123">
        <v>14</v>
      </c>
      <c r="C1903" s="164" t="s">
        <v>81</v>
      </c>
      <c r="D1903" s="125" t="s">
        <v>1545</v>
      </c>
      <c r="E1903" s="125" t="s">
        <v>792</v>
      </c>
      <c r="F1903" s="171">
        <v>44404</v>
      </c>
      <c r="G1903" s="171" t="s">
        <v>770</v>
      </c>
      <c r="H1903" s="163">
        <v>0</v>
      </c>
      <c r="I1903" s="162" t="s">
        <v>1546</v>
      </c>
      <c r="J1903" s="162">
        <v>118476212</v>
      </c>
    </row>
    <row r="1904" spans="2:12" ht="32.25" x14ac:dyDescent="0.15">
      <c r="B1904" s="123">
        <v>14</v>
      </c>
      <c r="C1904" s="164" t="s">
        <v>81</v>
      </c>
      <c r="D1904" s="125" t="s">
        <v>1539</v>
      </c>
      <c r="E1904" s="125" t="s">
        <v>792</v>
      </c>
      <c r="F1904" s="171">
        <v>44431</v>
      </c>
      <c r="G1904" s="171" t="s">
        <v>770</v>
      </c>
      <c r="H1904" s="163">
        <v>10000000</v>
      </c>
      <c r="I1904" s="162" t="s">
        <v>1547</v>
      </c>
      <c r="J1904" s="162">
        <v>0</v>
      </c>
    </row>
    <row r="1905" spans="2:10" ht="21.75" x14ac:dyDescent="0.15">
      <c r="B1905" s="123">
        <v>14</v>
      </c>
      <c r="C1905" s="164" t="s">
        <v>81</v>
      </c>
      <c r="D1905" s="125" t="s">
        <v>1545</v>
      </c>
      <c r="E1905" s="125" t="s">
        <v>792</v>
      </c>
      <c r="F1905" s="171">
        <v>44545</v>
      </c>
      <c r="G1905" s="171" t="s">
        <v>770</v>
      </c>
      <c r="H1905" s="163">
        <v>0</v>
      </c>
      <c r="I1905" s="162" t="s">
        <v>1548</v>
      </c>
      <c r="J1905" s="162">
        <v>118476213</v>
      </c>
    </row>
    <row r="1906" spans="2:10" ht="21.75" x14ac:dyDescent="0.15">
      <c r="B1906" s="123">
        <v>14</v>
      </c>
      <c r="C1906" s="164" t="s">
        <v>81</v>
      </c>
      <c r="D1906" s="125" t="s">
        <v>1543</v>
      </c>
      <c r="E1906" s="125" t="s">
        <v>792</v>
      </c>
      <c r="F1906" s="171">
        <v>44545</v>
      </c>
      <c r="G1906" s="171" t="s">
        <v>770</v>
      </c>
      <c r="H1906" s="163">
        <v>0</v>
      </c>
      <c r="I1906" s="162" t="s">
        <v>1544</v>
      </c>
      <c r="J1906" s="162">
        <v>190003000</v>
      </c>
    </row>
    <row r="1907" spans="2:10" ht="21.75" x14ac:dyDescent="0.15">
      <c r="B1907" s="123">
        <v>14</v>
      </c>
      <c r="C1907" s="164" t="s">
        <v>81</v>
      </c>
      <c r="D1907" s="125" t="s">
        <v>1545</v>
      </c>
      <c r="E1907" s="125" t="s">
        <v>792</v>
      </c>
      <c r="F1907" s="171">
        <v>44545</v>
      </c>
      <c r="G1907" s="171" t="s">
        <v>770</v>
      </c>
      <c r="H1907" s="163">
        <v>0</v>
      </c>
      <c r="I1907" s="162" t="s">
        <v>1549</v>
      </c>
      <c r="J1907" s="162">
        <v>85000000</v>
      </c>
    </row>
    <row r="1908" spans="2:10" ht="21.75" x14ac:dyDescent="0.15">
      <c r="B1908" s="123">
        <v>14</v>
      </c>
      <c r="C1908" s="164" t="s">
        <v>81</v>
      </c>
      <c r="D1908" s="125" t="s">
        <v>1550</v>
      </c>
      <c r="E1908" s="125" t="s">
        <v>792</v>
      </c>
      <c r="F1908" s="171">
        <v>44545</v>
      </c>
      <c r="G1908" s="171" t="s">
        <v>770</v>
      </c>
      <c r="H1908" s="163">
        <v>0</v>
      </c>
      <c r="I1908" s="162" t="s">
        <v>1551</v>
      </c>
      <c r="J1908" s="162">
        <v>19675800</v>
      </c>
    </row>
    <row r="1909" spans="2:10" ht="12" x14ac:dyDescent="0.15">
      <c r="B1909" s="69"/>
      <c r="C1909" s="160" t="s">
        <v>794</v>
      </c>
      <c r="D1909" s="70"/>
      <c r="E1909" s="70"/>
      <c r="F1909" s="69"/>
      <c r="G1909" s="70"/>
      <c r="H1909" s="161">
        <f>SUM(H5:H1908)</f>
        <v>79810364315.012848</v>
      </c>
      <c r="I1909" s="161"/>
      <c r="J1909" s="161">
        <f>SUM(J5:J1908)</f>
        <v>838631225</v>
      </c>
    </row>
    <row r="1910" spans="2:10" ht="12" x14ac:dyDescent="0.15">
      <c r="J1910" s="159"/>
    </row>
  </sheetData>
  <autoFilter ref="B3:J1908" xr:uid="{421F20EE-6AF8-4A59-8526-A512086C50AF}">
    <filterColumn colId="7" showButton="0"/>
  </autoFilter>
  <mergeCells count="7">
    <mergeCell ref="I3:J3"/>
    <mergeCell ref="B3:B4"/>
    <mergeCell ref="C3:C4"/>
    <mergeCell ref="D3:D4"/>
    <mergeCell ref="E3:E4"/>
    <mergeCell ref="F3:F4"/>
    <mergeCell ref="G3:G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4E840-3F7E-45B7-9E6E-519CB810D1E5}">
  <dimension ref="B2:N809"/>
  <sheetViews>
    <sheetView showGridLines="0" topLeftCell="A3" zoomScale="55" zoomScaleNormal="55" workbookViewId="0">
      <selection activeCell="D5" sqref="D5"/>
    </sheetView>
  </sheetViews>
  <sheetFormatPr defaultColWidth="11.43359375" defaultRowHeight="14.25" x14ac:dyDescent="0.2"/>
  <cols>
    <col min="1" max="1" width="11.43359375" style="201"/>
    <col min="2" max="2" width="14.52734375" style="200" customWidth="1"/>
    <col min="3" max="3" width="26.90234375" style="200" customWidth="1"/>
    <col min="4" max="4" width="45.6015625" style="201" bestFit="1" customWidth="1"/>
    <col min="5" max="5" width="18.83203125" style="200" customWidth="1"/>
    <col min="6" max="6" width="23.9453125" style="200" customWidth="1"/>
    <col min="7" max="7" width="14.9296875" style="200" bestFit="1" customWidth="1"/>
    <col min="8" max="8" width="23.67578125" style="200" bestFit="1" customWidth="1"/>
    <col min="9" max="12" width="18.5625" style="202" customWidth="1"/>
    <col min="13" max="13" width="15.33203125" style="203" customWidth="1"/>
    <col min="14" max="14" width="60.53515625" style="201" customWidth="1"/>
    <col min="15" max="16384" width="11.43359375" style="201"/>
  </cols>
  <sheetData>
    <row r="2" spans="2:14" x14ac:dyDescent="0.2">
      <c r="B2" s="3" t="s">
        <v>6</v>
      </c>
    </row>
    <row r="4" spans="2:14" s="200" customFormat="1" ht="50.1" customHeight="1" x14ac:dyDescent="0.15">
      <c r="B4" s="293" t="s">
        <v>1552</v>
      </c>
      <c r="C4" s="293" t="s">
        <v>1553</v>
      </c>
      <c r="D4" s="293" t="s">
        <v>1554</v>
      </c>
      <c r="E4" s="293" t="s">
        <v>1555</v>
      </c>
      <c r="F4" s="293" t="s">
        <v>1556</v>
      </c>
      <c r="G4" s="293" t="s">
        <v>1557</v>
      </c>
      <c r="H4" s="293" t="s">
        <v>750</v>
      </c>
      <c r="I4" s="294" t="s">
        <v>1558</v>
      </c>
      <c r="J4" s="294" t="s">
        <v>1559</v>
      </c>
      <c r="K4" s="294" t="s">
        <v>1560</v>
      </c>
      <c r="L4" s="294" t="s">
        <v>1561</v>
      </c>
      <c r="M4" s="293" t="s">
        <v>1562</v>
      </c>
      <c r="N4" s="293" t="s">
        <v>1563</v>
      </c>
    </row>
    <row r="5" spans="2:14" ht="27" x14ac:dyDescent="0.15">
      <c r="B5" s="295" t="str">
        <f>"22411"</f>
        <v>22411</v>
      </c>
      <c r="C5" s="295" t="str">
        <f>"N023/MMG/DNM/2019"</f>
        <v>N023/MMG/DNM/2019</v>
      </c>
      <c r="D5" s="296" t="s">
        <v>1564</v>
      </c>
      <c r="E5" s="295" t="s">
        <v>85</v>
      </c>
      <c r="F5" s="295" t="s">
        <v>644</v>
      </c>
      <c r="G5" s="295" t="s">
        <v>1565</v>
      </c>
      <c r="H5" s="295" t="s">
        <v>1565</v>
      </c>
      <c r="I5" s="297">
        <v>43665.666956018518</v>
      </c>
      <c r="J5" s="297">
        <v>43770</v>
      </c>
      <c r="K5" s="297">
        <v>43951</v>
      </c>
      <c r="L5" s="297">
        <v>43262</v>
      </c>
      <c r="M5" s="298" t="s">
        <v>1566</v>
      </c>
      <c r="N5" s="296" t="str">
        <f>"Guinee,Kankan,Siguiri,Kiniebakoura, Niandankoro"</f>
        <v>Guinee,Kankan,Siguiri,Kiniebakoura, Niandankoro</v>
      </c>
    </row>
    <row r="6" spans="2:14" ht="18.75" x14ac:dyDescent="0.15">
      <c r="B6" s="295" t="str">
        <f>"22676"</f>
        <v>22676</v>
      </c>
      <c r="C6" s="295" t="str">
        <f>"N02019/014/MMG/DNM"</f>
        <v>N02019/014/MMG/DNM</v>
      </c>
      <c r="D6" s="296" t="s">
        <v>1567</v>
      </c>
      <c r="E6" s="295" t="s">
        <v>85</v>
      </c>
      <c r="F6" s="295" t="s">
        <v>1568</v>
      </c>
      <c r="G6" s="295" t="s">
        <v>1565</v>
      </c>
      <c r="H6" s="295" t="s">
        <v>1565</v>
      </c>
      <c r="I6" s="297">
        <v>43642.474016203705</v>
      </c>
      <c r="J6" s="297">
        <v>43643</v>
      </c>
      <c r="K6" s="297">
        <v>43825</v>
      </c>
      <c r="L6" s="297">
        <v>43594</v>
      </c>
      <c r="M6" s="298" t="s">
        <v>1569</v>
      </c>
      <c r="N6" s="296" t="str">
        <f>"Guinee,Kindia,Coyah,Wonkifong; Kindia,Friguiagbé, Mambia"</f>
        <v>Guinee,Kindia,Coyah,Wonkifong; Kindia,Friguiagbé, Mambia</v>
      </c>
    </row>
    <row r="7" spans="2:14" ht="18.75" x14ac:dyDescent="0.15">
      <c r="B7" s="295" t="str">
        <f>"22555"</f>
        <v>22555</v>
      </c>
      <c r="C7" s="295" t="str">
        <f>"N02019/004/MMG/DNM"</f>
        <v>N02019/004/MMG/DNM</v>
      </c>
      <c r="D7" s="296" t="s">
        <v>1570</v>
      </c>
      <c r="E7" s="295" t="s">
        <v>85</v>
      </c>
      <c r="F7" s="295" t="s">
        <v>644</v>
      </c>
      <c r="G7" s="295" t="s">
        <v>1565</v>
      </c>
      <c r="H7" s="295" t="s">
        <v>1565</v>
      </c>
      <c r="I7" s="297">
        <v>43488.586030092592</v>
      </c>
      <c r="J7" s="297">
        <v>43530</v>
      </c>
      <c r="K7" s="297">
        <v>43713</v>
      </c>
      <c r="L7" s="297">
        <v>43441</v>
      </c>
      <c r="M7" s="298" t="s">
        <v>1571</v>
      </c>
      <c r="N7" s="296" t="str">
        <f>"Guinee,Faranah,Kissidougo,Albadariah"</f>
        <v>Guinee,Faranah,Kissidougo,Albadariah</v>
      </c>
    </row>
    <row r="8" spans="2:14" ht="27" x14ac:dyDescent="0.15">
      <c r="B8" s="295" t="str">
        <f>"8540"</f>
        <v>8540</v>
      </c>
      <c r="C8" s="295" t="str">
        <f>"N°D/2005/052/PRG/SGG"</f>
        <v>N°D/2005/052/PRG/SGG</v>
      </c>
      <c r="D8" s="296" t="s">
        <v>1572</v>
      </c>
      <c r="E8" s="295" t="s">
        <v>68</v>
      </c>
      <c r="F8" s="295" t="s">
        <v>1568</v>
      </c>
      <c r="G8" s="295" t="s">
        <v>1565</v>
      </c>
      <c r="H8" s="295" t="s">
        <v>1565</v>
      </c>
      <c r="I8" s="297"/>
      <c r="J8" s="297">
        <v>38678</v>
      </c>
      <c r="K8" s="297">
        <v>51461</v>
      </c>
      <c r="L8" s="297"/>
      <c r="M8" s="298" t="s">
        <v>1573</v>
      </c>
      <c r="N8" s="296" t="str">
        <f>"Guinee,Boke,Boke,Dabiss, Sangaredi; Gaoual,Kakony, Koumbia, Wendou M'bour; Kindia,Telimele,Koba, Missira"</f>
        <v>Guinee,Boke,Boke,Dabiss, Sangaredi; Gaoual,Kakony, Koumbia, Wendou M'bour; Kindia,Telimele,Koba, Missira</v>
      </c>
    </row>
    <row r="9" spans="2:14" ht="27" x14ac:dyDescent="0.15">
      <c r="B9" s="295" t="str">
        <f>"23258"</f>
        <v>23258</v>
      </c>
      <c r="C9" s="295" t="str">
        <f>"N°21/048/MMG/DNM"</f>
        <v>N°21/048/MMG/DNM</v>
      </c>
      <c r="D9" s="296" t="s">
        <v>1574</v>
      </c>
      <c r="E9" s="295" t="s">
        <v>85</v>
      </c>
      <c r="F9" s="295" t="s">
        <v>1575</v>
      </c>
      <c r="G9" s="295" t="s">
        <v>1565</v>
      </c>
      <c r="H9" s="295" t="s">
        <v>1565</v>
      </c>
      <c r="I9" s="297">
        <v>44515.630891203706</v>
      </c>
      <c r="J9" s="297">
        <v>44518</v>
      </c>
      <c r="K9" s="297">
        <v>44698</v>
      </c>
      <c r="L9" s="297">
        <v>44502</v>
      </c>
      <c r="M9" s="298" t="s">
        <v>1576</v>
      </c>
      <c r="N9" s="296" t="str">
        <f>"Guinee,Boke,Gaoual,Kounsitel; Labe,Mali,Madina wora"</f>
        <v>Guinee,Boke,Gaoual,Kounsitel; Labe,Mali,Madina wora</v>
      </c>
    </row>
    <row r="10" spans="2:14" ht="27" x14ac:dyDescent="0.15">
      <c r="B10" s="295" t="str">
        <f>"23245"</f>
        <v>23245</v>
      </c>
      <c r="C10" s="295" t="str">
        <f>"N°21/044/MMG/DNM"</f>
        <v>N°21/044/MMG/DNM</v>
      </c>
      <c r="D10" s="296" t="s">
        <v>1574</v>
      </c>
      <c r="E10" s="295" t="s">
        <v>85</v>
      </c>
      <c r="F10" s="295" t="s">
        <v>1575</v>
      </c>
      <c r="G10" s="295" t="s">
        <v>1565</v>
      </c>
      <c r="H10" s="295" t="s">
        <v>1565</v>
      </c>
      <c r="I10" s="297">
        <v>44503.474560185183</v>
      </c>
      <c r="J10" s="297">
        <v>44510</v>
      </c>
      <c r="K10" s="297">
        <v>44690</v>
      </c>
      <c r="L10" s="297">
        <v>44447</v>
      </c>
      <c r="M10" s="298" t="s">
        <v>1577</v>
      </c>
      <c r="N10" s="296" t="str">
        <f>"Guinee,Boke,Gaoual,Foulamory; Koundara,Sarébo'do"</f>
        <v>Guinee,Boke,Gaoual,Foulamory; Koundara,Sarébo'do</v>
      </c>
    </row>
    <row r="11" spans="2:14" ht="27" x14ac:dyDescent="0.15">
      <c r="B11" s="295" t="str">
        <f>"725"</f>
        <v>725</v>
      </c>
      <c r="C11" s="295" t="str">
        <f>"Décret n° D2002/082/PRG/SGG"</f>
        <v>Décret n° D2002/082/PRG/SGG</v>
      </c>
      <c r="D11" s="296" t="s">
        <v>1578</v>
      </c>
      <c r="E11" s="295" t="s">
        <v>68</v>
      </c>
      <c r="F11" s="295" t="s">
        <v>1568</v>
      </c>
      <c r="G11" s="295" t="s">
        <v>1565</v>
      </c>
      <c r="H11" s="295" t="s">
        <v>1565</v>
      </c>
      <c r="I11" s="297"/>
      <c r="J11" s="297">
        <v>37554</v>
      </c>
      <c r="K11" s="297">
        <v>46684</v>
      </c>
      <c r="L11" s="297"/>
      <c r="M11" s="298" t="s">
        <v>1579</v>
      </c>
      <c r="N11" s="296" t="str">
        <f>"Guinee,Boke,Boke,Dabiss, Sangaredi, Tanéné"</f>
        <v>Guinee,Boke,Boke,Dabiss, Sangaredi, Tanéné</v>
      </c>
    </row>
    <row r="12" spans="2:14" ht="67.5" x14ac:dyDescent="0.15">
      <c r="B12" s="295" t="str">
        <f>"585"</f>
        <v>585</v>
      </c>
      <c r="C12" s="295" t="str">
        <f>"D98/050/PRG/SGG"</f>
        <v>D98/050/PRG/SGG</v>
      </c>
      <c r="D12" s="296" t="s">
        <v>1580</v>
      </c>
      <c r="E12" s="299" t="s">
        <v>68</v>
      </c>
      <c r="F12" s="295" t="s">
        <v>1568</v>
      </c>
      <c r="G12" s="295" t="s">
        <v>1565</v>
      </c>
      <c r="H12" s="295" t="s">
        <v>1565</v>
      </c>
      <c r="I12" s="297"/>
      <c r="J12" s="297">
        <v>35879</v>
      </c>
      <c r="K12" s="297">
        <v>45009</v>
      </c>
      <c r="L12" s="297"/>
      <c r="M12" s="298" t="s">
        <v>1581</v>
      </c>
      <c r="N12" s="296" t="str">
        <f>"Guinee,Faranah,Dabola,Arfamoussaya, Dabola-centre, Dogomet, Kankama, Kindoye, N'Dema; Dinguiraye,Dialakoro, Kalinko; Faranah,Passaya; Labe,Tougue,Kansangui, Kolangui, Kollet, Ko'n, Tougué-centre; Mamou,Mamou,Kégnéko, Nyagara, Saramoussayah, Téguéréyah"</f>
        <v>Guinee,Faranah,Dabola,Arfamoussaya, Dabola-centre, Dogomet, Kankama, Kindoye, N'Dema; Dinguiraye,Dialakoro, Kalinko; Faranah,Passaya; Labe,Tougue,Kansangui, Kolangui, Kollet, Ko'n, Tougué-centre; Mamou,Mamou,Kégnéko, Nyagara, Saramoussayah, Téguéréyah</v>
      </c>
    </row>
    <row r="13" spans="2:14" ht="18.75" x14ac:dyDescent="0.15">
      <c r="B13" s="295" t="str">
        <f>"23099"</f>
        <v>23099</v>
      </c>
      <c r="C13" s="295" t="str">
        <f>"D2021/196/PRG/SGG"</f>
        <v>D2021/196/PRG/SGG</v>
      </c>
      <c r="D13" s="296" t="s">
        <v>1582</v>
      </c>
      <c r="E13" s="295" t="s">
        <v>68</v>
      </c>
      <c r="F13" s="295" t="s">
        <v>1568</v>
      </c>
      <c r="G13" s="295" t="s">
        <v>1565</v>
      </c>
      <c r="H13" s="295" t="s">
        <v>1565</v>
      </c>
      <c r="I13" s="297">
        <v>44294.412615740737</v>
      </c>
      <c r="J13" s="297">
        <v>44355</v>
      </c>
      <c r="K13" s="297">
        <v>53485</v>
      </c>
      <c r="L13" s="297">
        <v>44132</v>
      </c>
      <c r="M13" s="298" t="s">
        <v>1583</v>
      </c>
      <c r="N13" s="296" t="str">
        <f>"Guinee,Kindia,Telimele,Daramagnak, Konsotami, Missira"</f>
        <v>Guinee,Kindia,Telimele,Daramagnak, Konsotami, Missira</v>
      </c>
    </row>
    <row r="14" spans="2:14" ht="27" x14ac:dyDescent="0.15">
      <c r="B14" s="295" t="str">
        <f>"23046"</f>
        <v>23046</v>
      </c>
      <c r="C14" s="295" t="str">
        <f>"D2021/195/PRG/SGG"</f>
        <v>D2021/195/PRG/SGG</v>
      </c>
      <c r="D14" s="296" t="s">
        <v>1584</v>
      </c>
      <c r="E14" s="295" t="s">
        <v>124</v>
      </c>
      <c r="F14" s="295" t="s">
        <v>644</v>
      </c>
      <c r="G14" s="295" t="s">
        <v>1565</v>
      </c>
      <c r="H14" s="295" t="s">
        <v>1565</v>
      </c>
      <c r="I14" s="297">
        <v>44223.508472222224</v>
      </c>
      <c r="J14" s="297">
        <v>44355</v>
      </c>
      <c r="K14" s="297">
        <v>46180</v>
      </c>
      <c r="L14" s="297">
        <v>44011</v>
      </c>
      <c r="M14" s="298" t="s">
        <v>1585</v>
      </c>
      <c r="N14" s="296" t="str">
        <f>"Guinee,Kankan,Kouroussa,Komola-khoura, Sanguiana"</f>
        <v>Guinee,Kankan,Kouroussa,Komola-khoura, Sanguiana</v>
      </c>
    </row>
    <row r="15" spans="2:14" ht="18.75" x14ac:dyDescent="0.15">
      <c r="B15" s="295" t="str">
        <f>"23039"</f>
        <v>23039</v>
      </c>
      <c r="C15" s="295" t="str">
        <f>"D2021/139/PRG/SGG"</f>
        <v>D2021/139/PRG/SGG</v>
      </c>
      <c r="D15" s="296" t="s">
        <v>100</v>
      </c>
      <c r="E15" s="295" t="s">
        <v>72</v>
      </c>
      <c r="F15" s="295" t="s">
        <v>644</v>
      </c>
      <c r="G15" s="295" t="s">
        <v>1565</v>
      </c>
      <c r="H15" s="295" t="s">
        <v>1565</v>
      </c>
      <c r="I15" s="297">
        <v>44209.554791666669</v>
      </c>
      <c r="J15" s="297">
        <v>44365</v>
      </c>
      <c r="K15" s="297">
        <v>49843</v>
      </c>
      <c r="L15" s="297">
        <v>44119</v>
      </c>
      <c r="M15" s="298" t="s">
        <v>1586</v>
      </c>
      <c r="N15" s="296" t="str">
        <f>"Guinee,Kankan,Kouroussa,Kouroussa-centre"</f>
        <v>Guinee,Kankan,Kouroussa,Kouroussa-centre</v>
      </c>
    </row>
    <row r="16" spans="2:14" ht="18.75" x14ac:dyDescent="0.15">
      <c r="B16" s="295" t="str">
        <f>"23038"</f>
        <v>23038</v>
      </c>
      <c r="C16" s="295" t="str">
        <f>"D2021/138/PRG/SGG"</f>
        <v>D2021/138/PRG/SGG</v>
      </c>
      <c r="D16" s="296" t="s">
        <v>100</v>
      </c>
      <c r="E16" s="295" t="s">
        <v>72</v>
      </c>
      <c r="F16" s="295" t="s">
        <v>644</v>
      </c>
      <c r="G16" s="295" t="s">
        <v>1565</v>
      </c>
      <c r="H16" s="295" t="s">
        <v>1565</v>
      </c>
      <c r="I16" s="297">
        <v>44209.490231481483</v>
      </c>
      <c r="J16" s="297">
        <v>44334</v>
      </c>
      <c r="K16" s="297">
        <v>49812</v>
      </c>
      <c r="L16" s="297">
        <v>44119</v>
      </c>
      <c r="M16" s="298" t="s">
        <v>1587</v>
      </c>
      <c r="N16" s="296" t="str">
        <f>"Guinee,Kankan,Kouroussa,Kouroussa-centre"</f>
        <v>Guinee,Kankan,Kouroussa,Kouroussa-centre</v>
      </c>
    </row>
    <row r="17" spans="2:14" ht="27" x14ac:dyDescent="0.15">
      <c r="B17" s="295" t="str">
        <f>"23066"</f>
        <v>23066</v>
      </c>
      <c r="C17" s="295" t="str">
        <f>"D2021/137/PRG/SGG"</f>
        <v>D2021/137/PRG/SGG</v>
      </c>
      <c r="D17" s="296" t="s">
        <v>1588</v>
      </c>
      <c r="E17" s="295" t="s">
        <v>124</v>
      </c>
      <c r="F17" s="295" t="s">
        <v>644</v>
      </c>
      <c r="G17" s="295" t="s">
        <v>1565</v>
      </c>
      <c r="H17" s="295" t="s">
        <v>1565</v>
      </c>
      <c r="I17" s="297">
        <v>44252.652384259258</v>
      </c>
      <c r="J17" s="297">
        <v>44334</v>
      </c>
      <c r="K17" s="297">
        <v>46159</v>
      </c>
      <c r="L17" s="297">
        <v>44225</v>
      </c>
      <c r="M17" s="298" t="s">
        <v>1589</v>
      </c>
      <c r="N17" s="296" t="str">
        <f>"Guinee,Kankan,Mandiana,Faralako"</f>
        <v>Guinee,Kankan,Mandiana,Faralako</v>
      </c>
    </row>
    <row r="18" spans="2:14" ht="27" x14ac:dyDescent="0.15">
      <c r="B18" s="295" t="str">
        <f>"23067"</f>
        <v>23067</v>
      </c>
      <c r="C18" s="295" t="str">
        <f>"D2021/136/PRG/SGG"</f>
        <v>D2021/136/PRG/SGG</v>
      </c>
      <c r="D18" s="296" t="s">
        <v>1588</v>
      </c>
      <c r="E18" s="295" t="s">
        <v>124</v>
      </c>
      <c r="F18" s="295" t="s">
        <v>644</v>
      </c>
      <c r="G18" s="295" t="s">
        <v>1565</v>
      </c>
      <c r="H18" s="295" t="s">
        <v>1565</v>
      </c>
      <c r="I18" s="297">
        <v>44252.695972222224</v>
      </c>
      <c r="J18" s="297">
        <v>44334</v>
      </c>
      <c r="K18" s="297">
        <v>46159</v>
      </c>
      <c r="L18" s="297">
        <v>44225</v>
      </c>
      <c r="M18" s="298" t="s">
        <v>1590</v>
      </c>
      <c r="N18" s="296" t="str">
        <f>"Guinee,Kankan,Mandiana,Morodou, Niantanina"</f>
        <v>Guinee,Kankan,Mandiana,Morodou, Niantanina</v>
      </c>
    </row>
    <row r="19" spans="2:14" ht="27" x14ac:dyDescent="0.15">
      <c r="B19" s="295" t="str">
        <f>"23068"</f>
        <v>23068</v>
      </c>
      <c r="C19" s="295" t="str">
        <f>"D2021/135/PRG/MMG"</f>
        <v>D2021/135/PRG/MMG</v>
      </c>
      <c r="D19" s="296" t="s">
        <v>131</v>
      </c>
      <c r="E19" s="295" t="s">
        <v>124</v>
      </c>
      <c r="F19" s="295" t="s">
        <v>644</v>
      </c>
      <c r="G19" s="295" t="s">
        <v>1565</v>
      </c>
      <c r="H19" s="295" t="s">
        <v>1565</v>
      </c>
      <c r="I19" s="297">
        <v>44252.731087962966</v>
      </c>
      <c r="J19" s="297">
        <v>44334</v>
      </c>
      <c r="K19" s="297">
        <v>46159</v>
      </c>
      <c r="L19" s="297">
        <v>44225</v>
      </c>
      <c r="M19" s="298" t="s">
        <v>1591</v>
      </c>
      <c r="N19" s="296" t="str">
        <f>"Guinee,Kankan,Mandiana,Faralako"</f>
        <v>Guinee,Kankan,Mandiana,Faralako</v>
      </c>
    </row>
    <row r="20" spans="2:14" ht="27" x14ac:dyDescent="0.15">
      <c r="B20" s="295" t="str">
        <f>"23069"</f>
        <v>23069</v>
      </c>
      <c r="C20" s="295" t="str">
        <f>"D2021/134/PRG/SGG"</f>
        <v>D2021/134/PRG/SGG</v>
      </c>
      <c r="D20" s="296" t="s">
        <v>131</v>
      </c>
      <c r="E20" s="295" t="s">
        <v>124</v>
      </c>
      <c r="F20" s="295" t="s">
        <v>644</v>
      </c>
      <c r="G20" s="295" t="s">
        <v>1565</v>
      </c>
      <c r="H20" s="295" t="s">
        <v>1565</v>
      </c>
      <c r="I20" s="297">
        <v>44252.763402777775</v>
      </c>
      <c r="J20" s="297">
        <v>44334</v>
      </c>
      <c r="K20" s="297">
        <v>46159</v>
      </c>
      <c r="L20" s="297">
        <v>44225</v>
      </c>
      <c r="M20" s="298" t="s">
        <v>1592</v>
      </c>
      <c r="N20" s="296" t="str">
        <f>"Guinee,Kankan,Mandiana,Faralako"</f>
        <v>Guinee,Kankan,Mandiana,Faralako</v>
      </c>
    </row>
    <row r="21" spans="2:14" ht="27" x14ac:dyDescent="0.15">
      <c r="B21" s="295" t="str">
        <f>"23040"</f>
        <v>23040</v>
      </c>
      <c r="C21" s="295" t="str">
        <f>"D2021/080/PRG/SGG"</f>
        <v>D2021/080/PRG/SGG</v>
      </c>
      <c r="D21" s="296" t="s">
        <v>1593</v>
      </c>
      <c r="E21" s="295" t="s">
        <v>68</v>
      </c>
      <c r="F21" s="295" t="s">
        <v>1594</v>
      </c>
      <c r="G21" s="295" t="s">
        <v>1565</v>
      </c>
      <c r="H21" s="295" t="s">
        <v>1565</v>
      </c>
      <c r="I21" s="297">
        <v>44210.481469907405</v>
      </c>
      <c r="J21" s="297">
        <v>44270</v>
      </c>
      <c r="K21" s="297">
        <v>53400</v>
      </c>
      <c r="L21" s="297">
        <v>44182</v>
      </c>
      <c r="M21" s="298" t="s">
        <v>1595</v>
      </c>
      <c r="N21" s="296" t="str">
        <f>"Guinee,Kankan,Kerouane,Damaro, Kérouané-centre, Komodou, Konsankoro, Linko"</f>
        <v>Guinee,Kankan,Kerouane,Damaro, Kérouané-centre, Komodou, Konsankoro, Linko</v>
      </c>
    </row>
    <row r="22" spans="2:14" ht="18.75" x14ac:dyDescent="0.15">
      <c r="B22" s="295" t="str">
        <f>"22808"</f>
        <v>22808</v>
      </c>
      <c r="C22" s="295" t="str">
        <f>"D2021/062/PRG/SGG"</f>
        <v>D2021/062/PRG/SGG</v>
      </c>
      <c r="D22" s="296" t="s">
        <v>1596</v>
      </c>
      <c r="E22" s="295" t="s">
        <v>124</v>
      </c>
      <c r="F22" s="295" t="s">
        <v>644</v>
      </c>
      <c r="G22" s="295" t="s">
        <v>1565</v>
      </c>
      <c r="H22" s="295" t="s">
        <v>1565</v>
      </c>
      <c r="I22" s="297">
        <v>43830.496145833335</v>
      </c>
      <c r="J22" s="297">
        <v>44249</v>
      </c>
      <c r="K22" s="297">
        <v>46074</v>
      </c>
      <c r="L22" s="297">
        <v>43823</v>
      </c>
      <c r="M22" s="298" t="s">
        <v>1597</v>
      </c>
      <c r="N22" s="296" t="str">
        <f>"Guinee,Kankan,Siguiri,Kintinian, Norassoba"</f>
        <v>Guinee,Kankan,Siguiri,Kintinian, Norassoba</v>
      </c>
    </row>
    <row r="23" spans="2:14" ht="18.75" x14ac:dyDescent="0.15">
      <c r="B23" s="295" t="str">
        <f>"22966"</f>
        <v>22966</v>
      </c>
      <c r="C23" s="295" t="str">
        <f>"D2021/061/PRG/SGG"</f>
        <v>D2021/061/PRG/SGG</v>
      </c>
      <c r="D23" s="296" t="s">
        <v>1598</v>
      </c>
      <c r="E23" s="295" t="s">
        <v>124</v>
      </c>
      <c r="F23" s="295" t="s">
        <v>644</v>
      </c>
      <c r="G23" s="295" t="s">
        <v>1565</v>
      </c>
      <c r="H23" s="295" t="s">
        <v>1565</v>
      </c>
      <c r="I23" s="297">
        <v>44048.460706018515</v>
      </c>
      <c r="J23" s="297">
        <v>44249</v>
      </c>
      <c r="K23" s="297">
        <v>46074</v>
      </c>
      <c r="L23" s="297">
        <v>43985</v>
      </c>
      <c r="M23" s="298" t="s">
        <v>1599</v>
      </c>
      <c r="N23" s="296" t="str">
        <f>"Guinee,Kankan,Mandiana,Kantoumanina, Mandiana-centre"</f>
        <v>Guinee,Kankan,Mandiana,Kantoumanina, Mandiana-centre</v>
      </c>
    </row>
    <row r="24" spans="2:14" ht="18.75" x14ac:dyDescent="0.15">
      <c r="B24" s="295" t="str">
        <f>"22965"</f>
        <v>22965</v>
      </c>
      <c r="C24" s="295" t="str">
        <f>"D2020/311/PRG/SGG"</f>
        <v>D2020/311/PRG/SGG</v>
      </c>
      <c r="D24" s="296" t="s">
        <v>1600</v>
      </c>
      <c r="E24" s="295" t="s">
        <v>72</v>
      </c>
      <c r="F24" s="295" t="s">
        <v>644</v>
      </c>
      <c r="G24" s="295" t="s">
        <v>1565</v>
      </c>
      <c r="H24" s="295" t="s">
        <v>1565</v>
      </c>
      <c r="I24" s="297">
        <v>44047.712592592594</v>
      </c>
      <c r="J24" s="297">
        <v>44182</v>
      </c>
      <c r="K24" s="297">
        <v>49659</v>
      </c>
      <c r="L24" s="297">
        <v>43972</v>
      </c>
      <c r="M24" s="298" t="s">
        <v>1601</v>
      </c>
      <c r="N24" s="296" t="str">
        <f>"Guinee,Kankan,Kouroussa,Kiniéro, Kouroussa-centre"</f>
        <v>Guinee,Kankan,Kouroussa,Kiniéro, Kouroussa-centre</v>
      </c>
    </row>
    <row r="25" spans="2:14" ht="18.75" x14ac:dyDescent="0.15">
      <c r="B25" s="295" t="str">
        <f>"22917"</f>
        <v>22917</v>
      </c>
      <c r="C25" s="295" t="str">
        <f>"D2020/309/PRG/SGG"</f>
        <v>D2020/309/PRG/SGG</v>
      </c>
      <c r="D25" s="296" t="s">
        <v>1602</v>
      </c>
      <c r="E25" s="295" t="s">
        <v>124</v>
      </c>
      <c r="F25" s="295" t="s">
        <v>644</v>
      </c>
      <c r="G25" s="295" t="s">
        <v>1565</v>
      </c>
      <c r="H25" s="295" t="s">
        <v>1565</v>
      </c>
      <c r="I25" s="297">
        <v>43997.658807870372</v>
      </c>
      <c r="J25" s="297">
        <v>44182</v>
      </c>
      <c r="K25" s="297">
        <v>46007</v>
      </c>
      <c r="L25" s="297">
        <v>43808</v>
      </c>
      <c r="M25" s="298" t="s">
        <v>1603</v>
      </c>
      <c r="N25" s="296" t="str">
        <f>"Guinee,Mamou,Mamou,Ouré-Kaba"</f>
        <v>Guinee,Mamou,Mamou,Ouré-Kaba</v>
      </c>
    </row>
    <row r="26" spans="2:14" ht="18.75" x14ac:dyDescent="0.15">
      <c r="B26" s="295" t="str">
        <f>"22964"</f>
        <v>22964</v>
      </c>
      <c r="C26" s="295" t="str">
        <f>"D2020/271/PRG/SGG"</f>
        <v>D2020/271/PRG/SGG</v>
      </c>
      <c r="D26" s="296" t="s">
        <v>1600</v>
      </c>
      <c r="E26" s="295" t="s">
        <v>72</v>
      </c>
      <c r="F26" s="295" t="s">
        <v>644</v>
      </c>
      <c r="G26" s="295" t="s">
        <v>1565</v>
      </c>
      <c r="H26" s="295" t="s">
        <v>1565</v>
      </c>
      <c r="I26" s="297">
        <v>44047.703217592592</v>
      </c>
      <c r="J26" s="297">
        <v>44139</v>
      </c>
      <c r="K26" s="297">
        <v>49616</v>
      </c>
      <c r="L26" s="297">
        <v>43972</v>
      </c>
      <c r="M26" s="298" t="s">
        <v>1604</v>
      </c>
      <c r="N26" s="296" t="str">
        <f>"Guinee,Kankan,Kouroussa,Babila, Kiniéro, Kouroussa-centre"</f>
        <v>Guinee,Kankan,Kouroussa,Babila, Kiniéro, Kouroussa-centre</v>
      </c>
    </row>
    <row r="27" spans="2:14" ht="18.75" x14ac:dyDescent="0.15">
      <c r="B27" s="295" t="str">
        <f>"22906"</f>
        <v>22906</v>
      </c>
      <c r="C27" s="295" t="str">
        <f>"D2020/270/PRG/SGG"</f>
        <v>D2020/270/PRG/SGG</v>
      </c>
      <c r="D27" s="296" t="s">
        <v>1605</v>
      </c>
      <c r="E27" s="295" t="s">
        <v>72</v>
      </c>
      <c r="F27" s="295" t="s">
        <v>1568</v>
      </c>
      <c r="G27" s="295" t="s">
        <v>1565</v>
      </c>
      <c r="H27" s="295" t="s">
        <v>1565</v>
      </c>
      <c r="I27" s="297">
        <v>43986.382280092592</v>
      </c>
      <c r="J27" s="297">
        <v>44139</v>
      </c>
      <c r="K27" s="297">
        <v>49616</v>
      </c>
      <c r="L27" s="297">
        <v>43878</v>
      </c>
      <c r="M27" s="298" t="s">
        <v>1606</v>
      </c>
      <c r="N27" s="296" t="str">
        <f>"Guinee,Boke,Boke,Dabiss; Gaoual,Wendou M'bour"</f>
        <v>Guinee,Boke,Boke,Dabiss; Gaoual,Wendou M'bour</v>
      </c>
    </row>
    <row r="28" spans="2:14" ht="27" x14ac:dyDescent="0.15">
      <c r="B28" s="295" t="str">
        <f>"22909"</f>
        <v>22909</v>
      </c>
      <c r="C28" s="295" t="str">
        <f>"D2020/269/PRG/SGG"</f>
        <v>D2020/269/PRG/SGG</v>
      </c>
      <c r="D28" s="296" t="s">
        <v>1607</v>
      </c>
      <c r="E28" s="295" t="s">
        <v>72</v>
      </c>
      <c r="F28" s="295" t="s">
        <v>1568</v>
      </c>
      <c r="G28" s="295" t="s">
        <v>1565</v>
      </c>
      <c r="H28" s="295" t="s">
        <v>1565</v>
      </c>
      <c r="I28" s="297">
        <v>43990.530868055554</v>
      </c>
      <c r="J28" s="297">
        <v>44139</v>
      </c>
      <c r="K28" s="297">
        <v>49616</v>
      </c>
      <c r="L28" s="297">
        <v>43990</v>
      </c>
      <c r="M28" s="298" t="s">
        <v>1608</v>
      </c>
      <c r="N28" s="296" t="str">
        <f>"Guinee,Kindia,Telimele,Konsotami, Tarihoye, Thionthian"</f>
        <v>Guinee,Kindia,Telimele,Konsotami, Tarihoye, Thionthian</v>
      </c>
    </row>
    <row r="29" spans="2:14" ht="18.75" x14ac:dyDescent="0.15">
      <c r="B29" s="295" t="str">
        <f>"22916"</f>
        <v>22916</v>
      </c>
      <c r="C29" s="295" t="str">
        <f>"D2020/268/PRG/SGG"</f>
        <v>D2020/268/PRG/SGG</v>
      </c>
      <c r="D29" s="296" t="s">
        <v>1602</v>
      </c>
      <c r="E29" s="295" t="s">
        <v>124</v>
      </c>
      <c r="F29" s="295" t="s">
        <v>644</v>
      </c>
      <c r="G29" s="295" t="s">
        <v>1565</v>
      </c>
      <c r="H29" s="295" t="s">
        <v>1565</v>
      </c>
      <c r="I29" s="297">
        <v>43997.620844907404</v>
      </c>
      <c r="J29" s="297">
        <v>44137</v>
      </c>
      <c r="K29" s="297">
        <v>45962</v>
      </c>
      <c r="L29" s="297">
        <v>43808</v>
      </c>
      <c r="M29" s="298" t="s">
        <v>1609</v>
      </c>
      <c r="N29" s="296" t="str">
        <f>"Guinee,Mamou,Mamou,Ouré-Kaba"</f>
        <v>Guinee,Mamou,Mamou,Ouré-Kaba</v>
      </c>
    </row>
    <row r="30" spans="2:14" ht="18.75" x14ac:dyDescent="0.15">
      <c r="B30" s="295" t="str">
        <f>"22394"</f>
        <v>22394</v>
      </c>
      <c r="C30" s="295" t="str">
        <f>"D2020/267/PRG/SGG"</f>
        <v>D2020/267/PRG/SGG</v>
      </c>
      <c r="D30" s="296" t="s">
        <v>1610</v>
      </c>
      <c r="E30" s="295" t="s">
        <v>72</v>
      </c>
      <c r="F30" s="295" t="s">
        <v>644</v>
      </c>
      <c r="G30" s="295" t="s">
        <v>1565</v>
      </c>
      <c r="H30" s="295" t="s">
        <v>1565</v>
      </c>
      <c r="I30" s="297">
        <v>43270.70579861111</v>
      </c>
      <c r="J30" s="297">
        <v>44137</v>
      </c>
      <c r="K30" s="297">
        <v>49614</v>
      </c>
      <c r="L30" s="297">
        <v>43098</v>
      </c>
      <c r="M30" s="298" t="s">
        <v>1611</v>
      </c>
      <c r="N30" s="296" t="str">
        <f>"Guinee,Kankan,Mandiana,Mandiana-centre, Morodou"</f>
        <v>Guinee,Kankan,Mandiana,Mandiana-centre, Morodou</v>
      </c>
    </row>
    <row r="31" spans="2:14" ht="18.75" x14ac:dyDescent="0.15">
      <c r="B31" s="295" t="str">
        <f>"22454"</f>
        <v>22454</v>
      </c>
      <c r="C31" s="295" t="str">
        <f>"D2020/266/PRG/SGG"</f>
        <v>D2020/266/PRG/SGG</v>
      </c>
      <c r="D31" s="296" t="s">
        <v>1612</v>
      </c>
      <c r="E31" s="295" t="s">
        <v>124</v>
      </c>
      <c r="F31" s="295" t="s">
        <v>1613</v>
      </c>
      <c r="G31" s="295" t="s">
        <v>1565</v>
      </c>
      <c r="H31" s="295" t="s">
        <v>1565</v>
      </c>
      <c r="I31" s="297">
        <v>43353.595810185187</v>
      </c>
      <c r="J31" s="297">
        <v>44137</v>
      </c>
      <c r="K31" s="297">
        <v>45962</v>
      </c>
      <c r="L31" s="297">
        <v>43297</v>
      </c>
      <c r="M31" s="298" t="s">
        <v>1614</v>
      </c>
      <c r="N31" s="296" t="str">
        <f>"Guinee,N'Zerekore,Macenta,Kouankan"</f>
        <v>Guinee,N'Zerekore,Macenta,Kouankan</v>
      </c>
    </row>
    <row r="32" spans="2:14" ht="27" x14ac:dyDescent="0.15">
      <c r="B32" s="295" t="str">
        <f>"22794"</f>
        <v>22794</v>
      </c>
      <c r="C32" s="295" t="str">
        <f>"D2020/265/PRG/SGG"</f>
        <v>D2020/265/PRG/SGG</v>
      </c>
      <c r="D32" s="296" t="s">
        <v>1615</v>
      </c>
      <c r="E32" s="295" t="s">
        <v>124</v>
      </c>
      <c r="F32" s="295" t="s">
        <v>644</v>
      </c>
      <c r="G32" s="295" t="s">
        <v>1565</v>
      </c>
      <c r="H32" s="295" t="s">
        <v>1565</v>
      </c>
      <c r="I32" s="297">
        <v>43811.526354166665</v>
      </c>
      <c r="J32" s="297">
        <v>44137</v>
      </c>
      <c r="K32" s="297">
        <v>45962</v>
      </c>
      <c r="L32" s="297">
        <v>43636</v>
      </c>
      <c r="M32" s="298" t="s">
        <v>1616</v>
      </c>
      <c r="N32" s="296" t="str">
        <f>"Guinee,Kankan,Siguiri,Kintinian"</f>
        <v>Guinee,Kankan,Siguiri,Kintinian</v>
      </c>
    </row>
    <row r="33" spans="2:14" ht="27" x14ac:dyDescent="0.15">
      <c r="B33" s="295" t="str">
        <f>"22900"</f>
        <v>22900</v>
      </c>
      <c r="C33" s="295" t="str">
        <f>"D2020/264/PRG/SGG"</f>
        <v>D2020/264/PRG/SGG</v>
      </c>
      <c r="D33" s="296" t="s">
        <v>89</v>
      </c>
      <c r="E33" s="295" t="s">
        <v>72</v>
      </c>
      <c r="F33" s="295" t="s">
        <v>1568</v>
      </c>
      <c r="G33" s="295" t="s">
        <v>1565</v>
      </c>
      <c r="H33" s="295" t="s">
        <v>1565</v>
      </c>
      <c r="I33" s="297">
        <v>43985.534560185188</v>
      </c>
      <c r="J33" s="297">
        <v>44137</v>
      </c>
      <c r="K33" s="297">
        <v>49614</v>
      </c>
      <c r="L33" s="297">
        <v>43984</v>
      </c>
      <c r="M33" s="298" t="s">
        <v>1617</v>
      </c>
      <c r="N33" s="296" t="str">
        <f>"Guinee,Kindia,Forecariah,Sikhourou; Kindia,Friguiagbé, Mambia, Molota"</f>
        <v>Guinee,Kindia,Forecariah,Sikhourou; Kindia,Friguiagbé, Mambia, Molota</v>
      </c>
    </row>
    <row r="34" spans="2:14" ht="27" x14ac:dyDescent="0.15">
      <c r="B34" s="295" t="str">
        <f>"22583"</f>
        <v>22583</v>
      </c>
      <c r="C34" s="295" t="str">
        <f>"D2020/263/PRG/SGG"</f>
        <v>D2020/263/PRG/SGG</v>
      </c>
      <c r="D34" s="296" t="s">
        <v>88</v>
      </c>
      <c r="E34" s="295" t="s">
        <v>72</v>
      </c>
      <c r="F34" s="295" t="s">
        <v>644</v>
      </c>
      <c r="G34" s="295" t="s">
        <v>1565</v>
      </c>
      <c r="H34" s="295" t="s">
        <v>1565</v>
      </c>
      <c r="I34" s="297">
        <v>43535.693761574075</v>
      </c>
      <c r="J34" s="297">
        <v>44137</v>
      </c>
      <c r="K34" s="297">
        <v>49614</v>
      </c>
      <c r="L34" s="297">
        <v>43510</v>
      </c>
      <c r="M34" s="298" t="s">
        <v>1618</v>
      </c>
      <c r="N34" s="296" t="str">
        <f>"Guinee,Kankan,Mandiana,Balandougouba, Dialokoro, Koundianakoro"</f>
        <v>Guinee,Kankan,Mandiana,Balandougouba, Dialokoro, Koundianakoro</v>
      </c>
    </row>
    <row r="35" spans="2:14" ht="27" x14ac:dyDescent="0.15">
      <c r="B35" s="295" t="str">
        <f>"22951"</f>
        <v>22951</v>
      </c>
      <c r="C35" s="295" t="str">
        <f>"D2020/254/PRG/SGG"</f>
        <v>D2020/254/PRG/SGG</v>
      </c>
      <c r="D35" s="296" t="s">
        <v>1619</v>
      </c>
      <c r="E35" s="295" t="s">
        <v>72</v>
      </c>
      <c r="F35" s="295" t="s">
        <v>1594</v>
      </c>
      <c r="G35" s="295" t="s">
        <v>1565</v>
      </c>
      <c r="H35" s="295" t="s">
        <v>1565</v>
      </c>
      <c r="I35" s="297">
        <v>44035.414305555554</v>
      </c>
      <c r="J35" s="297">
        <v>44103</v>
      </c>
      <c r="K35" s="297">
        <v>49580</v>
      </c>
      <c r="L35" s="297">
        <v>44029</v>
      </c>
      <c r="M35" s="298" t="s">
        <v>1620</v>
      </c>
      <c r="N35" s="296" t="str">
        <f>"Guinee,Kindia,Forecariah,Farmoriah, Kaliah, Moussayah, Sikhourou"</f>
        <v>Guinee,Kindia,Forecariah,Farmoriah, Kaliah, Moussayah, Sikhourou</v>
      </c>
    </row>
    <row r="36" spans="2:14" ht="27" x14ac:dyDescent="0.15">
      <c r="B36" s="295" t="str">
        <f>"22807"</f>
        <v>22807</v>
      </c>
      <c r="C36" s="295" t="str">
        <f>"D2020/121/PRG/SGG"</f>
        <v>D2020/121/PRG/SGG</v>
      </c>
      <c r="D36" s="296" t="s">
        <v>1621</v>
      </c>
      <c r="E36" s="295" t="s">
        <v>124</v>
      </c>
      <c r="F36" s="295" t="s">
        <v>644</v>
      </c>
      <c r="G36" s="295" t="s">
        <v>1565</v>
      </c>
      <c r="H36" s="295" t="s">
        <v>1565</v>
      </c>
      <c r="I36" s="297">
        <v>43829.514687499999</v>
      </c>
      <c r="J36" s="297">
        <v>44001</v>
      </c>
      <c r="K36" s="297">
        <v>45826</v>
      </c>
      <c r="L36" s="297">
        <v>43826</v>
      </c>
      <c r="M36" s="298" t="s">
        <v>1622</v>
      </c>
      <c r="N36" s="296" t="str">
        <f>"Guinee,Kankan,Siguiri,Niagassola"</f>
        <v>Guinee,Kankan,Siguiri,Niagassola</v>
      </c>
    </row>
    <row r="37" spans="2:14" ht="18.75" x14ac:dyDescent="0.15">
      <c r="B37" s="295" t="str">
        <f>"22858"</f>
        <v>22858</v>
      </c>
      <c r="C37" s="295" t="str">
        <f>"D2020/120/PRG/SGG"</f>
        <v>D2020/120/PRG/SGG</v>
      </c>
      <c r="D37" s="296" t="s">
        <v>1623</v>
      </c>
      <c r="E37" s="295" t="s">
        <v>72</v>
      </c>
      <c r="F37" s="295" t="s">
        <v>644</v>
      </c>
      <c r="G37" s="295" t="s">
        <v>1565</v>
      </c>
      <c r="H37" s="295" t="s">
        <v>1565</v>
      </c>
      <c r="I37" s="297">
        <v>43928.57236111111</v>
      </c>
      <c r="J37" s="297">
        <v>44001</v>
      </c>
      <c r="K37" s="297">
        <v>49478</v>
      </c>
      <c r="L37" s="297">
        <v>43896</v>
      </c>
      <c r="M37" s="298" t="s">
        <v>1624</v>
      </c>
      <c r="N37" s="296" t="str">
        <f>"Guinee,Kankan,Mandiana,Koundianakoro, Morodou"</f>
        <v>Guinee,Kankan,Mandiana,Koundianakoro, Morodou</v>
      </c>
    </row>
    <row r="38" spans="2:14" ht="18.75" x14ac:dyDescent="0.15">
      <c r="B38" s="295" t="str">
        <f>"22582"</f>
        <v>22582</v>
      </c>
      <c r="C38" s="295" t="str">
        <f>"D2020/119/PRG/SGG"</f>
        <v>D2020/119/PRG/SGG</v>
      </c>
      <c r="D38" s="296" t="s">
        <v>88</v>
      </c>
      <c r="E38" s="295" t="s">
        <v>72</v>
      </c>
      <c r="F38" s="295" t="s">
        <v>644</v>
      </c>
      <c r="G38" s="295" t="s">
        <v>1565</v>
      </c>
      <c r="H38" s="295" t="s">
        <v>1565</v>
      </c>
      <c r="I38" s="297">
        <v>43535.650451388887</v>
      </c>
      <c r="J38" s="297">
        <v>44001</v>
      </c>
      <c r="K38" s="297">
        <v>49478</v>
      </c>
      <c r="L38" s="297">
        <v>43510</v>
      </c>
      <c r="M38" s="298" t="s">
        <v>1625</v>
      </c>
      <c r="N38" s="296" t="str">
        <f>"Guinee,Kankan,Mandiana,Balandougouba, Koundianakoro"</f>
        <v>Guinee,Kankan,Mandiana,Balandougouba, Koundianakoro</v>
      </c>
    </row>
    <row r="39" spans="2:14" ht="18.75" x14ac:dyDescent="0.15">
      <c r="B39" s="295" t="str">
        <f>"22714"</f>
        <v>22714</v>
      </c>
      <c r="C39" s="295" t="str">
        <f>"D2020/117/PRG/SGG"</f>
        <v>D2020/117/PRG/SGG</v>
      </c>
      <c r="D39" s="296" t="s">
        <v>98</v>
      </c>
      <c r="E39" s="295" t="s">
        <v>72</v>
      </c>
      <c r="F39" s="295" t="s">
        <v>1568</v>
      </c>
      <c r="G39" s="295" t="s">
        <v>1565</v>
      </c>
      <c r="H39" s="295" t="s">
        <v>1565</v>
      </c>
      <c r="I39" s="297">
        <v>43725.592951388891</v>
      </c>
      <c r="J39" s="297">
        <v>43558</v>
      </c>
      <c r="K39" s="297">
        <v>49036</v>
      </c>
      <c r="L39" s="297">
        <v>43720</v>
      </c>
      <c r="M39" s="298" t="s">
        <v>1626</v>
      </c>
      <c r="N39" s="296" t="str">
        <f>"Guinee,Kindia,Telimele,Koba, Missira"</f>
        <v>Guinee,Kindia,Telimele,Koba, Missira</v>
      </c>
    </row>
    <row r="40" spans="2:14" ht="18.75" x14ac:dyDescent="0.15">
      <c r="B40" s="295" t="str">
        <f>"22595"</f>
        <v>22595</v>
      </c>
      <c r="C40" s="295" t="str">
        <f>"D2020/083/PRG/SGG"</f>
        <v>D2020/083/PRG/SGG</v>
      </c>
      <c r="D40" s="296" t="s">
        <v>1627</v>
      </c>
      <c r="E40" s="295" t="s">
        <v>1628</v>
      </c>
      <c r="F40" s="295" t="s">
        <v>644</v>
      </c>
      <c r="G40" s="295" t="s">
        <v>1565</v>
      </c>
      <c r="H40" s="295" t="s">
        <v>1565</v>
      </c>
      <c r="I40" s="297">
        <v>43552.450486111113</v>
      </c>
      <c r="J40" s="297">
        <v>43942</v>
      </c>
      <c r="K40" s="297">
        <v>45767</v>
      </c>
      <c r="L40" s="297">
        <v>43409</v>
      </c>
      <c r="M40" s="298" t="s">
        <v>1629</v>
      </c>
      <c r="N40" s="296" t="str">
        <f>"Guinee,Kankan,Mandiana,Dialokoro; Siguiri,Bankon"</f>
        <v>Guinee,Kankan,Mandiana,Dialokoro; Siguiri,Bankon</v>
      </c>
    </row>
    <row r="41" spans="2:14" ht="18.75" x14ac:dyDescent="0.15">
      <c r="B41" s="295" t="str">
        <f>"22641"</f>
        <v>22641</v>
      </c>
      <c r="C41" s="295" t="str">
        <f>"D2020/082/PRG/SGG"</f>
        <v>D2020/082/PRG/SGG</v>
      </c>
      <c r="D41" s="296" t="s">
        <v>1630</v>
      </c>
      <c r="E41" s="295" t="s">
        <v>124</v>
      </c>
      <c r="F41" s="295" t="s">
        <v>644</v>
      </c>
      <c r="G41" s="295" t="s">
        <v>1565</v>
      </c>
      <c r="H41" s="295" t="s">
        <v>1565</v>
      </c>
      <c r="I41" s="297">
        <v>43616.59107638889</v>
      </c>
      <c r="J41" s="297">
        <v>43942</v>
      </c>
      <c r="K41" s="297">
        <v>45767</v>
      </c>
      <c r="L41" s="297">
        <v>43315</v>
      </c>
      <c r="M41" s="298" t="s">
        <v>1631</v>
      </c>
      <c r="N41" s="296" t="str">
        <f>"Guinee,Kankan,Siguiri,Doko"</f>
        <v>Guinee,Kankan,Siguiri,Doko</v>
      </c>
    </row>
    <row r="42" spans="2:14" ht="18.75" x14ac:dyDescent="0.15">
      <c r="B42" s="295" t="str">
        <f>"22570"</f>
        <v>22570</v>
      </c>
      <c r="C42" s="295" t="str">
        <f>"D2019/296/PRG/SGG"</f>
        <v>D2019/296/PRG/SGG</v>
      </c>
      <c r="D42" s="296" t="s">
        <v>1632</v>
      </c>
      <c r="E42" s="295" t="s">
        <v>72</v>
      </c>
      <c r="F42" s="295" t="s">
        <v>1568</v>
      </c>
      <c r="G42" s="295" t="s">
        <v>1565</v>
      </c>
      <c r="H42" s="295" t="s">
        <v>1565</v>
      </c>
      <c r="I42" s="297">
        <v>43521.575775462959</v>
      </c>
      <c r="J42" s="297">
        <v>43780</v>
      </c>
      <c r="K42" s="297">
        <v>49258</v>
      </c>
      <c r="L42" s="297">
        <v>43131</v>
      </c>
      <c r="M42" s="298" t="s">
        <v>1633</v>
      </c>
      <c r="N42" s="296" t="str">
        <f>"Guinee,Boke,Boke,Sangaredi; Kindia,Telimele,Daramagnak, Missira"</f>
        <v>Guinee,Boke,Boke,Sangaredi; Kindia,Telimele,Daramagnak, Missira</v>
      </c>
    </row>
    <row r="43" spans="2:14" ht="18.75" x14ac:dyDescent="0.15">
      <c r="B43" s="295" t="str">
        <f>"22328"</f>
        <v>22328</v>
      </c>
      <c r="C43" s="295" t="str">
        <f>"D2019/251/PRG/SGG"</f>
        <v>D2019/251/PRG/SGG</v>
      </c>
      <c r="D43" s="296" t="s">
        <v>1634</v>
      </c>
      <c r="E43" s="295" t="s">
        <v>1628</v>
      </c>
      <c r="F43" s="295" t="s">
        <v>644</v>
      </c>
      <c r="G43" s="295" t="s">
        <v>1565</v>
      </c>
      <c r="H43" s="295" t="s">
        <v>1565</v>
      </c>
      <c r="I43" s="297">
        <v>43183.596087962964</v>
      </c>
      <c r="J43" s="297">
        <v>43710</v>
      </c>
      <c r="K43" s="297">
        <v>49188</v>
      </c>
      <c r="L43" s="297">
        <v>42836</v>
      </c>
      <c r="M43" s="298" t="s">
        <v>1635</v>
      </c>
      <c r="N43" s="296" t="str">
        <f>"Guinee,Kankan,Siguiri,Kiniebakoura, Siguiri-centre"</f>
        <v>Guinee,Kankan,Siguiri,Kiniebakoura, Siguiri-centre</v>
      </c>
    </row>
    <row r="44" spans="2:14" ht="18.75" x14ac:dyDescent="0.15">
      <c r="B44" s="295" t="str">
        <f>"22449"</f>
        <v>22449</v>
      </c>
      <c r="C44" s="295" t="str">
        <f>"D2018/281/PRG/SGG"</f>
        <v>D2018/281/PRG/SGG</v>
      </c>
      <c r="D44" s="296" t="s">
        <v>1636</v>
      </c>
      <c r="E44" s="295" t="s">
        <v>68</v>
      </c>
      <c r="F44" s="295" t="s">
        <v>1568</v>
      </c>
      <c r="G44" s="295" t="s">
        <v>1565</v>
      </c>
      <c r="H44" s="295" t="s">
        <v>1565</v>
      </c>
      <c r="I44" s="297">
        <v>43341.451944444445</v>
      </c>
      <c r="J44" s="297">
        <v>43423</v>
      </c>
      <c r="K44" s="297">
        <v>52553</v>
      </c>
      <c r="L44" s="297">
        <v>42970</v>
      </c>
      <c r="M44" s="298" t="s">
        <v>1637</v>
      </c>
      <c r="N44" s="296" t="str">
        <f>"Guinee,Kindia,Kindia,Bangouya; Telimele,Kollet, Sinta, Sogolon"</f>
        <v>Guinee,Kindia,Kindia,Bangouya; Telimele,Kollet, Sinta, Sogolon</v>
      </c>
    </row>
    <row r="45" spans="2:14" ht="27" x14ac:dyDescent="0.15">
      <c r="B45" s="295" t="str">
        <f>"22448"</f>
        <v>22448</v>
      </c>
      <c r="C45" s="295" t="str">
        <f>"D2018/280/PRG/SGG"</f>
        <v>D2018/280/PRG/SGG</v>
      </c>
      <c r="D45" s="296" t="s">
        <v>1638</v>
      </c>
      <c r="E45" s="295" t="s">
        <v>68</v>
      </c>
      <c r="F45" s="295" t="s">
        <v>1568</v>
      </c>
      <c r="G45" s="295" t="s">
        <v>1565</v>
      </c>
      <c r="H45" s="295" t="s">
        <v>1565</v>
      </c>
      <c r="I45" s="297">
        <v>43341.523831018516</v>
      </c>
      <c r="J45" s="297">
        <v>43423</v>
      </c>
      <c r="K45" s="297">
        <v>52553</v>
      </c>
      <c r="L45" s="297">
        <v>43339</v>
      </c>
      <c r="M45" s="298" t="s">
        <v>1639</v>
      </c>
      <c r="N45" s="296" t="str">
        <f>"Guinee,Boke,Fria,Baguinet, Banguigny; Kindia,Dubreka,Tondon; Telimele,Sogolon"</f>
        <v>Guinee,Boke,Fria,Baguinet, Banguigny; Kindia,Dubreka,Tondon; Telimele,Sogolon</v>
      </c>
    </row>
    <row r="46" spans="2:14" ht="18.75" x14ac:dyDescent="0.15">
      <c r="B46" s="295" t="str">
        <f>"22395"</f>
        <v>22395</v>
      </c>
      <c r="C46" s="295" t="str">
        <f>"D2018/270/PRG/SGG"</f>
        <v>D2018/270/PRG/SGG</v>
      </c>
      <c r="D46" s="296" t="s">
        <v>1640</v>
      </c>
      <c r="E46" s="295" t="s">
        <v>124</v>
      </c>
      <c r="F46" s="295" t="s">
        <v>644</v>
      </c>
      <c r="G46" s="295" t="s">
        <v>1565</v>
      </c>
      <c r="H46" s="295" t="s">
        <v>1565</v>
      </c>
      <c r="I46" s="297">
        <v>43270.739942129629</v>
      </c>
      <c r="J46" s="297">
        <v>43406</v>
      </c>
      <c r="K46" s="297">
        <v>45231</v>
      </c>
      <c r="L46" s="297">
        <v>43098</v>
      </c>
      <c r="M46" s="298" t="s">
        <v>1641</v>
      </c>
      <c r="N46" s="296" t="str">
        <f>"Guinee,Kankan,Mandiana,Faralako, Niantanina"</f>
        <v>Guinee,Kankan,Mandiana,Faralako, Niantanina</v>
      </c>
    </row>
    <row r="47" spans="2:14" ht="27" x14ac:dyDescent="0.15">
      <c r="B47" s="295" t="str">
        <f>"22260"</f>
        <v>22260</v>
      </c>
      <c r="C47" s="295" t="str">
        <f>"D2018/267/PRG/SGG"</f>
        <v>D2018/267/PRG/SGG</v>
      </c>
      <c r="D47" s="296" t="s">
        <v>1642</v>
      </c>
      <c r="E47" s="295" t="s">
        <v>72</v>
      </c>
      <c r="F47" s="295" t="s">
        <v>1568</v>
      </c>
      <c r="G47" s="295" t="s">
        <v>1565</v>
      </c>
      <c r="H47" s="295" t="s">
        <v>1565</v>
      </c>
      <c r="I47" s="297">
        <v>43047.660740740743</v>
      </c>
      <c r="J47" s="297">
        <v>43406</v>
      </c>
      <c r="K47" s="297">
        <v>48884</v>
      </c>
      <c r="L47" s="297">
        <v>43046</v>
      </c>
      <c r="M47" s="298" t="s">
        <v>1643</v>
      </c>
      <c r="N47" s="296" t="str">
        <f>"Guinee,Boke,Boffa,Lisso, Tamita; Fria,Fria, Tormélin; Kindia,Dubreka,Tanéné"</f>
        <v>Guinee,Boke,Boffa,Lisso, Tamita; Fria,Fria, Tormélin; Kindia,Dubreka,Tanéné</v>
      </c>
    </row>
    <row r="48" spans="2:14" ht="18.75" x14ac:dyDescent="0.15">
      <c r="B48" s="295" t="str">
        <f>"22455"</f>
        <v>22455</v>
      </c>
      <c r="C48" s="295" t="str">
        <f>"D2018/266/PRG/SGG "</f>
        <v xml:space="preserve">D2018/266/PRG/SGG </v>
      </c>
      <c r="D48" s="296" t="s">
        <v>1644</v>
      </c>
      <c r="E48" s="295" t="s">
        <v>72</v>
      </c>
      <c r="F48" s="295" t="s">
        <v>1568</v>
      </c>
      <c r="G48" s="295" t="s">
        <v>1565</v>
      </c>
      <c r="H48" s="295" t="s">
        <v>1565</v>
      </c>
      <c r="I48" s="297">
        <v>43356.410428240742</v>
      </c>
      <c r="J48" s="297">
        <v>43406</v>
      </c>
      <c r="K48" s="297">
        <v>48884</v>
      </c>
      <c r="L48" s="297">
        <v>43228</v>
      </c>
      <c r="M48" s="298" t="s">
        <v>1645</v>
      </c>
      <c r="N48" s="296" t="str">
        <f>"Guinee,Boke,Boffa,Lisso, Tamita; Kindia,Dubreka,Tanéné"</f>
        <v>Guinee,Boke,Boffa,Lisso, Tamita; Kindia,Dubreka,Tanéné</v>
      </c>
    </row>
    <row r="49" spans="2:14" ht="18.75" x14ac:dyDescent="0.15">
      <c r="B49" s="295" t="str">
        <f>"22048"</f>
        <v>22048</v>
      </c>
      <c r="C49" s="295" t="str">
        <f>"D2018/245/PRG/SGG"</f>
        <v>D2018/245/PRG/SGG</v>
      </c>
      <c r="D49" s="296" t="s">
        <v>1646</v>
      </c>
      <c r="E49" s="295" t="s">
        <v>1628</v>
      </c>
      <c r="F49" s="295" t="s">
        <v>644</v>
      </c>
      <c r="G49" s="295" t="s">
        <v>1565</v>
      </c>
      <c r="H49" s="295" t="s">
        <v>1565</v>
      </c>
      <c r="I49" s="297">
        <v>42713.604259259257</v>
      </c>
      <c r="J49" s="297">
        <v>43383</v>
      </c>
      <c r="K49" s="297">
        <v>48861</v>
      </c>
      <c r="L49" s="297">
        <v>42636</v>
      </c>
      <c r="M49" s="298" t="s">
        <v>1647</v>
      </c>
      <c r="N49" s="296" t="str">
        <f>"Guinee,Kankan,Siguiri,Kintinian, Niandankoro, Norassoba"</f>
        <v>Guinee,Kankan,Siguiri,Kintinian, Niandankoro, Norassoba</v>
      </c>
    </row>
    <row r="50" spans="2:14" ht="18.75" x14ac:dyDescent="0.15">
      <c r="B50" s="295" t="str">
        <f>"22049"</f>
        <v>22049</v>
      </c>
      <c r="C50" s="295" t="str">
        <f>"D2018/244/PRG/SGG"</f>
        <v>D2018/244/PRG/SGG</v>
      </c>
      <c r="D50" s="296" t="s">
        <v>1646</v>
      </c>
      <c r="E50" s="295" t="s">
        <v>1628</v>
      </c>
      <c r="F50" s="295" t="s">
        <v>644</v>
      </c>
      <c r="G50" s="295" t="s">
        <v>1565</v>
      </c>
      <c r="H50" s="295" t="s">
        <v>1565</v>
      </c>
      <c r="I50" s="297">
        <v>42713.646215277775</v>
      </c>
      <c r="J50" s="297">
        <v>43383</v>
      </c>
      <c r="K50" s="297">
        <v>45208</v>
      </c>
      <c r="L50" s="297">
        <v>42636</v>
      </c>
      <c r="M50" s="298" t="s">
        <v>1648</v>
      </c>
      <c r="N50" s="296" t="str">
        <f>"Guinee,Kankan,Siguiri,Kintinian, Norassoba"</f>
        <v>Guinee,Kankan,Siguiri,Kintinian, Norassoba</v>
      </c>
    </row>
    <row r="51" spans="2:14" ht="18.75" x14ac:dyDescent="0.15">
      <c r="B51" s="295" t="str">
        <f>"294"</f>
        <v>294</v>
      </c>
      <c r="C51" s="295" t="str">
        <f>"D2018/184/PRG/SGG"</f>
        <v>D2018/184/PRG/SGG</v>
      </c>
      <c r="D51" s="296" t="s">
        <v>36</v>
      </c>
      <c r="E51" s="295" t="s">
        <v>68</v>
      </c>
      <c r="F51" s="295" t="s">
        <v>644</v>
      </c>
      <c r="G51" s="295" t="s">
        <v>1565</v>
      </c>
      <c r="H51" s="295" t="s">
        <v>1565</v>
      </c>
      <c r="I51" s="297"/>
      <c r="J51" s="297">
        <v>34414</v>
      </c>
      <c r="K51" s="297">
        <v>48813</v>
      </c>
      <c r="L51" s="297"/>
      <c r="M51" s="298" t="s">
        <v>1649</v>
      </c>
      <c r="N51" s="296" t="str">
        <f>"Guinee,Faranah,Dinguiraye,Banora; Kankan,Siguiri,Maléa, Siguirini"</f>
        <v>Guinee,Faranah,Dinguiraye,Banora; Kankan,Siguiri,Maléa, Siguirini</v>
      </c>
    </row>
    <row r="52" spans="2:14" ht="27" x14ac:dyDescent="0.15">
      <c r="B52" s="295" t="str">
        <f>"22416"</f>
        <v>22416</v>
      </c>
      <c r="C52" s="295" t="str">
        <f>"D2018/150/PRG/SGG"</f>
        <v>D2018/150/PRG/SGG</v>
      </c>
      <c r="D52" s="296" t="s">
        <v>1650</v>
      </c>
      <c r="E52" s="295" t="s">
        <v>68</v>
      </c>
      <c r="F52" s="295" t="s">
        <v>1568</v>
      </c>
      <c r="G52" s="295" t="s">
        <v>1565</v>
      </c>
      <c r="H52" s="295" t="s">
        <v>1565</v>
      </c>
      <c r="I52" s="297">
        <v>43306.584999999999</v>
      </c>
      <c r="J52" s="297">
        <v>43322</v>
      </c>
      <c r="K52" s="297">
        <v>52452</v>
      </c>
      <c r="L52" s="297">
        <v>43298</v>
      </c>
      <c r="M52" s="298" t="s">
        <v>1651</v>
      </c>
      <c r="N52" s="296" t="str">
        <f>"Guinee,Boke,Boffa,Kolia; Kindia,Telimele,Daramagnak"</f>
        <v>Guinee,Boke,Boffa,Kolia; Kindia,Telimele,Daramagnak</v>
      </c>
    </row>
    <row r="53" spans="2:14" ht="27" x14ac:dyDescent="0.15">
      <c r="B53" s="295" t="str">
        <f>"22417"</f>
        <v>22417</v>
      </c>
      <c r="C53" s="295" t="str">
        <f>"D2018/149/PRG/SGG"</f>
        <v>D2018/149/PRG/SGG</v>
      </c>
      <c r="D53" s="296" t="s">
        <v>1650</v>
      </c>
      <c r="E53" s="295" t="s">
        <v>68</v>
      </c>
      <c r="F53" s="295" t="s">
        <v>1568</v>
      </c>
      <c r="G53" s="295" t="s">
        <v>1565</v>
      </c>
      <c r="H53" s="295" t="s">
        <v>1565</v>
      </c>
      <c r="I53" s="297">
        <v>43306.61074074074</v>
      </c>
      <c r="J53" s="297">
        <v>43322</v>
      </c>
      <c r="K53" s="297">
        <v>52452</v>
      </c>
      <c r="L53" s="297">
        <v>43298</v>
      </c>
      <c r="M53" s="298" t="s">
        <v>1652</v>
      </c>
      <c r="N53" s="296" t="str">
        <f>"Guinee,Kindia,Telimele,Koba, Konsotami, Missira, Tarihoye"</f>
        <v>Guinee,Kindia,Telimele,Koba, Konsotami, Missira, Tarihoye</v>
      </c>
    </row>
    <row r="54" spans="2:14" ht="27" x14ac:dyDescent="0.15">
      <c r="B54" s="295" t="str">
        <f>"22290"</f>
        <v>22290</v>
      </c>
      <c r="C54" s="295" t="str">
        <f>"D2018/010/PRG/SGG"</f>
        <v>D2018/010/PRG/SGG</v>
      </c>
      <c r="D54" s="296" t="s">
        <v>264</v>
      </c>
      <c r="E54" s="295" t="s">
        <v>68</v>
      </c>
      <c r="F54" s="295" t="s">
        <v>1568</v>
      </c>
      <c r="G54" s="295" t="s">
        <v>1565</v>
      </c>
      <c r="H54" s="295" t="s">
        <v>1565</v>
      </c>
      <c r="I54" s="297">
        <v>43096.661817129629</v>
      </c>
      <c r="J54" s="297">
        <v>43119</v>
      </c>
      <c r="K54" s="297">
        <v>52249</v>
      </c>
      <c r="L54" s="297">
        <v>43082</v>
      </c>
      <c r="M54" s="298" t="s">
        <v>1653</v>
      </c>
      <c r="N54" s="296" t="str">
        <f>"Guinee,Kindia,Telimele,Missira"</f>
        <v>Guinee,Kindia,Telimele,Missira</v>
      </c>
    </row>
    <row r="55" spans="2:14" ht="18.75" x14ac:dyDescent="0.15">
      <c r="B55" s="295" t="str">
        <f>"22281"</f>
        <v>22281</v>
      </c>
      <c r="C55" s="295" t="str">
        <f>"D2018/002/PRG/SGG"</f>
        <v>D2018/002/PRG/SGG</v>
      </c>
      <c r="D55" s="296" t="s">
        <v>1654</v>
      </c>
      <c r="E55" s="295" t="s">
        <v>72</v>
      </c>
      <c r="F55" s="295" t="s">
        <v>1568</v>
      </c>
      <c r="G55" s="295" t="s">
        <v>1565</v>
      </c>
      <c r="H55" s="295" t="s">
        <v>1565</v>
      </c>
      <c r="I55" s="297">
        <v>43080.648912037039</v>
      </c>
      <c r="J55" s="297">
        <v>43108</v>
      </c>
      <c r="K55" s="297">
        <v>48586</v>
      </c>
      <c r="L55" s="297">
        <v>43051</v>
      </c>
      <c r="M55" s="298" t="s">
        <v>1655</v>
      </c>
      <c r="N55" s="296" t="str">
        <f>"Guinee,Boke,Boke,Boké-centre, Kolaboui, Malapouyah, Tanéné"</f>
        <v>Guinee,Boke,Boke,Boké-centre, Kolaboui, Malapouyah, Tanéné</v>
      </c>
    </row>
    <row r="56" spans="2:14" ht="18.75" x14ac:dyDescent="0.15">
      <c r="B56" s="295" t="str">
        <f>"22176"</f>
        <v>22176</v>
      </c>
      <c r="C56" s="295" t="str">
        <f>"D2017/329/PRG/SGG"</f>
        <v>D2017/329/PRG/SGG</v>
      </c>
      <c r="D56" s="296" t="s">
        <v>1656</v>
      </c>
      <c r="E56" s="295" t="s">
        <v>124</v>
      </c>
      <c r="F56" s="295" t="s">
        <v>644</v>
      </c>
      <c r="G56" s="295" t="s">
        <v>1565</v>
      </c>
      <c r="H56" s="295" t="s">
        <v>1565</v>
      </c>
      <c r="I56" s="297">
        <v>42930.575752314813</v>
      </c>
      <c r="J56" s="297">
        <v>43076</v>
      </c>
      <c r="K56" s="297">
        <v>44901</v>
      </c>
      <c r="L56" s="297">
        <v>42746</v>
      </c>
      <c r="M56" s="298" t="s">
        <v>1657</v>
      </c>
      <c r="N56" s="296" t="str">
        <f>"Guinee,Kankan,Siguiri,Norassoba"</f>
        <v>Guinee,Kankan,Siguiri,Norassoba</v>
      </c>
    </row>
    <row r="57" spans="2:14" ht="18.75" x14ac:dyDescent="0.15">
      <c r="B57" s="295" t="str">
        <f>"22152"</f>
        <v>22152</v>
      </c>
      <c r="C57" s="295" t="str">
        <f>"D2017/328/PRG/SGG"</f>
        <v>D2017/328/PRG/SGG</v>
      </c>
      <c r="D57" s="296" t="s">
        <v>1658</v>
      </c>
      <c r="E57" s="295" t="s">
        <v>124</v>
      </c>
      <c r="F57" s="295" t="s">
        <v>640</v>
      </c>
      <c r="G57" s="295" t="s">
        <v>1565</v>
      </c>
      <c r="H57" s="295" t="s">
        <v>1565</v>
      </c>
      <c r="I57" s="297">
        <v>42892.578148148146</v>
      </c>
      <c r="J57" s="297">
        <v>43076</v>
      </c>
      <c r="K57" s="297">
        <v>44901</v>
      </c>
      <c r="L57" s="297">
        <v>42832</v>
      </c>
      <c r="M57" s="298" t="s">
        <v>1659</v>
      </c>
      <c r="N57" s="296" t="str">
        <f>"Guinee,Faranah,Kissidougo,Bardou, Kondiadou"</f>
        <v>Guinee,Faranah,Kissidougo,Bardou, Kondiadou</v>
      </c>
    </row>
    <row r="58" spans="2:14" ht="18.75" x14ac:dyDescent="0.15">
      <c r="B58" s="295" t="str">
        <f>"22052"</f>
        <v>22052</v>
      </c>
      <c r="C58" s="295" t="str">
        <f>"D2017/125/PRG/SGG"</f>
        <v>D2017/125/PRG/SGG</v>
      </c>
      <c r="D58" s="296" t="s">
        <v>1660</v>
      </c>
      <c r="E58" s="295" t="s">
        <v>72</v>
      </c>
      <c r="F58" s="295" t="s">
        <v>1568</v>
      </c>
      <c r="G58" s="295" t="s">
        <v>1565</v>
      </c>
      <c r="H58" s="295" t="s">
        <v>1565</v>
      </c>
      <c r="I58" s="297">
        <v>42724.515706018516</v>
      </c>
      <c r="J58" s="297">
        <v>42893</v>
      </c>
      <c r="K58" s="297">
        <v>48371</v>
      </c>
      <c r="L58" s="297">
        <v>42711</v>
      </c>
      <c r="M58" s="298" t="s">
        <v>1661</v>
      </c>
      <c r="N58" s="296" t="str">
        <f>"Guinee,Boke,Boke,Malapouyah, Tanéné"</f>
        <v>Guinee,Boke,Boke,Malapouyah, Tanéné</v>
      </c>
    </row>
    <row r="59" spans="2:14" ht="18.75" x14ac:dyDescent="0.15">
      <c r="B59" s="295" t="str">
        <f>"22053"</f>
        <v>22053</v>
      </c>
      <c r="C59" s="295" t="str">
        <f>"D2017/124/PRG/SGG"</f>
        <v>D2017/124/PRG/SGG</v>
      </c>
      <c r="D59" s="296" t="s">
        <v>1662</v>
      </c>
      <c r="E59" s="295" t="s">
        <v>72</v>
      </c>
      <c r="F59" s="295" t="s">
        <v>1568</v>
      </c>
      <c r="G59" s="295" t="s">
        <v>1565</v>
      </c>
      <c r="H59" s="295" t="s">
        <v>1565</v>
      </c>
      <c r="I59" s="297">
        <v>42725.553344907406</v>
      </c>
      <c r="J59" s="297">
        <v>42893</v>
      </c>
      <c r="K59" s="297">
        <v>48371</v>
      </c>
      <c r="L59" s="297">
        <v>42546</v>
      </c>
      <c r="M59" s="298" t="s">
        <v>1663</v>
      </c>
      <c r="N59" s="296" t="str">
        <f>"Guinee,Boke,Boke,Boké-centre, Malapouyah, Tanéné"</f>
        <v>Guinee,Boke,Boke,Boké-centre, Malapouyah, Tanéné</v>
      </c>
    </row>
    <row r="60" spans="2:14" ht="27" x14ac:dyDescent="0.15">
      <c r="B60" s="295" t="str">
        <f>"22064"</f>
        <v>22064</v>
      </c>
      <c r="C60" s="295" t="str">
        <f>"D2017/086/PRG/SGG"</f>
        <v>D2017/086/PRG/SGG</v>
      </c>
      <c r="D60" s="296" t="s">
        <v>1664</v>
      </c>
      <c r="E60" s="295" t="s">
        <v>72</v>
      </c>
      <c r="F60" s="295" t="s">
        <v>1568</v>
      </c>
      <c r="G60" s="295" t="s">
        <v>1565</v>
      </c>
      <c r="H60" s="295" t="s">
        <v>1565</v>
      </c>
      <c r="I60" s="297">
        <v>42734.517245370371</v>
      </c>
      <c r="J60" s="297">
        <v>42846</v>
      </c>
      <c r="K60" s="297">
        <v>48324</v>
      </c>
      <c r="L60" s="297">
        <v>42733</v>
      </c>
      <c r="M60" s="298" t="s">
        <v>1665</v>
      </c>
      <c r="N60" s="296" t="str">
        <f>"Guinee,Kindia,Kindia,Samaya"</f>
        <v>Guinee,Kindia,Kindia,Samaya</v>
      </c>
    </row>
    <row r="61" spans="2:14" ht="27" x14ac:dyDescent="0.15">
      <c r="B61" s="295" t="str">
        <f>"22063"</f>
        <v>22063</v>
      </c>
      <c r="C61" s="295" t="str">
        <f>"D2017/085/PRG/SGG"</f>
        <v>D2017/085/PRG/SGG</v>
      </c>
      <c r="D61" s="296" t="s">
        <v>1664</v>
      </c>
      <c r="E61" s="295" t="s">
        <v>72</v>
      </c>
      <c r="F61" s="295" t="s">
        <v>1568</v>
      </c>
      <c r="G61" s="295" t="s">
        <v>1565</v>
      </c>
      <c r="H61" s="295" t="s">
        <v>1565</v>
      </c>
      <c r="I61" s="297">
        <v>42734.479386574072</v>
      </c>
      <c r="J61" s="297">
        <v>42846</v>
      </c>
      <c r="K61" s="297">
        <v>48324</v>
      </c>
      <c r="L61" s="297">
        <v>42733</v>
      </c>
      <c r="M61" s="298" t="s">
        <v>1666</v>
      </c>
      <c r="N61" s="296" t="str">
        <f>"Guinee,Kindia,Dubreka,Faléssadé, Khorira"</f>
        <v>Guinee,Kindia,Dubreka,Faléssadé, Khorira</v>
      </c>
    </row>
    <row r="62" spans="2:14" ht="18.75" x14ac:dyDescent="0.15">
      <c r="B62" s="295" t="str">
        <f>"22051"</f>
        <v>22051</v>
      </c>
      <c r="C62" s="295" t="str">
        <f>"D2017/084/PRG/SGG"</f>
        <v>D2017/084/PRG/SGG</v>
      </c>
      <c r="D62" s="296" t="s">
        <v>1667</v>
      </c>
      <c r="E62" s="295" t="s">
        <v>124</v>
      </c>
      <c r="F62" s="295" t="s">
        <v>644</v>
      </c>
      <c r="G62" s="295" t="s">
        <v>1565</v>
      </c>
      <c r="H62" s="295" t="s">
        <v>1565</v>
      </c>
      <c r="I62" s="297">
        <v>42718.534907407404</v>
      </c>
      <c r="J62" s="297">
        <v>42846</v>
      </c>
      <c r="K62" s="297">
        <v>44671</v>
      </c>
      <c r="L62" s="297">
        <v>42489</v>
      </c>
      <c r="M62" s="298" t="s">
        <v>1668</v>
      </c>
      <c r="N62" s="296" t="str">
        <f>"Guinee,Kankan,Kouroussa,Doura; Siguiri,Norassoba"</f>
        <v>Guinee,Kankan,Kouroussa,Doura; Siguiri,Norassoba</v>
      </c>
    </row>
    <row r="63" spans="2:14" ht="18.75" x14ac:dyDescent="0.15">
      <c r="B63" s="295" t="str">
        <f>"22259"</f>
        <v>22259</v>
      </c>
      <c r="C63" s="295" t="str">
        <f>"D2017/064/PRG/SGG"</f>
        <v>D2017/064/PRG/SGG</v>
      </c>
      <c r="D63" s="296" t="s">
        <v>1582</v>
      </c>
      <c r="E63" s="295" t="s">
        <v>72</v>
      </c>
      <c r="F63" s="295" t="s">
        <v>1568</v>
      </c>
      <c r="G63" s="295" t="s">
        <v>1565</v>
      </c>
      <c r="H63" s="295" t="s">
        <v>1565</v>
      </c>
      <c r="I63" s="297">
        <v>42723.595138888886</v>
      </c>
      <c r="J63" s="297">
        <v>42807</v>
      </c>
      <c r="K63" s="297">
        <v>48285</v>
      </c>
      <c r="L63" s="297">
        <v>42723</v>
      </c>
      <c r="M63" s="298" t="s">
        <v>1669</v>
      </c>
      <c r="N63" s="296" t="str">
        <f>"Guinee,Boke,Boke,Boké-centre, Kolaboui, Malapouyah, Tanéné"</f>
        <v>Guinee,Boke,Boke,Boké-centre, Kolaboui, Malapouyah, Tanéné</v>
      </c>
    </row>
    <row r="64" spans="2:14" ht="18.75" x14ac:dyDescent="0.15">
      <c r="B64" s="295" t="str">
        <f>"22041"</f>
        <v>22041</v>
      </c>
      <c r="C64" s="295" t="str">
        <f>"D2016/371/MMG/SGG"</f>
        <v>D2016/371/MMG/SGG</v>
      </c>
      <c r="D64" s="296" t="s">
        <v>1582</v>
      </c>
      <c r="E64" s="295" t="s">
        <v>72</v>
      </c>
      <c r="F64" s="295" t="s">
        <v>1568</v>
      </c>
      <c r="G64" s="295" t="s">
        <v>1565</v>
      </c>
      <c r="H64" s="295" t="s">
        <v>1565</v>
      </c>
      <c r="I64" s="297">
        <v>42702.771273148152</v>
      </c>
      <c r="J64" s="297">
        <v>42706</v>
      </c>
      <c r="K64" s="297">
        <v>48183</v>
      </c>
      <c r="L64" s="297">
        <v>42634</v>
      </c>
      <c r="M64" s="298" t="s">
        <v>1670</v>
      </c>
      <c r="N64" s="296" t="str">
        <f>"Guinee,Boke,Boke,Dabiss, Tanéné"</f>
        <v>Guinee,Boke,Boke,Dabiss, Tanéné</v>
      </c>
    </row>
    <row r="65" spans="2:14" ht="18.75" x14ac:dyDescent="0.15">
      <c r="B65" s="295" t="str">
        <f>"22040"</f>
        <v>22040</v>
      </c>
      <c r="C65" s="295" t="str">
        <f>"D2016/370/MMG/SGG"</f>
        <v>D2016/370/MMG/SGG</v>
      </c>
      <c r="D65" s="296" t="s">
        <v>1582</v>
      </c>
      <c r="E65" s="295" t="s">
        <v>72</v>
      </c>
      <c r="F65" s="295" t="s">
        <v>1568</v>
      </c>
      <c r="G65" s="295" t="s">
        <v>1565</v>
      </c>
      <c r="H65" s="295" t="s">
        <v>1565</v>
      </c>
      <c r="I65" s="297">
        <v>42702.693159722221</v>
      </c>
      <c r="J65" s="297">
        <v>42706</v>
      </c>
      <c r="K65" s="297">
        <v>48183</v>
      </c>
      <c r="L65" s="297">
        <v>42634</v>
      </c>
      <c r="M65" s="298" t="s">
        <v>1671</v>
      </c>
      <c r="N65" s="296" t="str">
        <f>"Guinee,Boke,Boke,Dabiss, Kanfarandé, Tanéné"</f>
        <v>Guinee,Boke,Boke,Dabiss, Kanfarandé, Tanéné</v>
      </c>
    </row>
    <row r="66" spans="2:14" ht="18.75" x14ac:dyDescent="0.15">
      <c r="B66" s="295" t="str">
        <f>"22267"</f>
        <v>22267</v>
      </c>
      <c r="C66" s="295" t="str">
        <f>"D2016/366/PRG/SGG"</f>
        <v>D2016/366/PRG/SGG</v>
      </c>
      <c r="D66" s="296" t="s">
        <v>1672</v>
      </c>
      <c r="E66" s="295" t="s">
        <v>124</v>
      </c>
      <c r="F66" s="295" t="s">
        <v>644</v>
      </c>
      <c r="G66" s="295" t="s">
        <v>1565</v>
      </c>
      <c r="H66" s="295" t="s">
        <v>1565</v>
      </c>
      <c r="I66" s="297">
        <v>42486.551701388889</v>
      </c>
      <c r="J66" s="297">
        <v>42700</v>
      </c>
      <c r="K66" s="297">
        <v>44525</v>
      </c>
      <c r="L66" s="297">
        <v>42486</v>
      </c>
      <c r="M66" s="298" t="s">
        <v>1673</v>
      </c>
      <c r="N66" s="296" t="str">
        <f>"Guinee,Kankan,Mandiana,Kiniéran"</f>
        <v>Guinee,Kankan,Mandiana,Kiniéran</v>
      </c>
    </row>
    <row r="67" spans="2:14" ht="18.75" x14ac:dyDescent="0.15">
      <c r="B67" s="295" t="str">
        <f>"21172"</f>
        <v>21172</v>
      </c>
      <c r="C67" s="295" t="str">
        <f>"D2016/235/PRG/SGG"</f>
        <v>D2016/235/PRG/SGG</v>
      </c>
      <c r="D67" s="296" t="s">
        <v>1674</v>
      </c>
      <c r="E67" s="295" t="s">
        <v>124</v>
      </c>
      <c r="F67" s="295" t="s">
        <v>644</v>
      </c>
      <c r="G67" s="295" t="s">
        <v>1565</v>
      </c>
      <c r="H67" s="295" t="s">
        <v>1565</v>
      </c>
      <c r="I67" s="297">
        <v>42374.397152777776</v>
      </c>
      <c r="J67" s="297">
        <v>42572</v>
      </c>
      <c r="K67" s="297">
        <v>44397</v>
      </c>
      <c r="L67" s="297">
        <v>41894</v>
      </c>
      <c r="M67" s="298" t="s">
        <v>1675</v>
      </c>
      <c r="N67" s="296" t="str">
        <f>"Guinee,Kankan,Siguiri,Doko"</f>
        <v>Guinee,Kankan,Siguiri,Doko</v>
      </c>
    </row>
    <row r="68" spans="2:14" ht="18.75" x14ac:dyDescent="0.15">
      <c r="B68" s="295" t="str">
        <f>"20720"</f>
        <v>20720</v>
      </c>
      <c r="C68" s="295" t="str">
        <f>"D2016/108/PRG/SGG"</f>
        <v>D2016/108/PRG/SGG</v>
      </c>
      <c r="D68" s="296" t="s">
        <v>270</v>
      </c>
      <c r="E68" s="295" t="s">
        <v>124</v>
      </c>
      <c r="F68" s="295" t="s">
        <v>644</v>
      </c>
      <c r="G68" s="295" t="s">
        <v>1565</v>
      </c>
      <c r="H68" s="295" t="s">
        <v>1565</v>
      </c>
      <c r="I68" s="297">
        <v>42734.449826388889</v>
      </c>
      <c r="J68" s="297">
        <v>42734</v>
      </c>
      <c r="K68" s="297">
        <v>44559</v>
      </c>
      <c r="L68" s="297">
        <v>42081</v>
      </c>
      <c r="M68" s="298" t="s">
        <v>1676</v>
      </c>
      <c r="N68" s="296" t="str">
        <f>"Guinee,Kankan,Siguiri,Franwalia"</f>
        <v>Guinee,Kankan,Siguiri,Franwalia</v>
      </c>
    </row>
    <row r="69" spans="2:14" ht="27" x14ac:dyDescent="0.15">
      <c r="B69" s="295" t="str">
        <f>"19961"</f>
        <v>19961</v>
      </c>
      <c r="C69" s="295" t="str">
        <f>"D2016/107/PRG/SGG"</f>
        <v>D2016/107/PRG/SGG</v>
      </c>
      <c r="D69" s="296" t="s">
        <v>1677</v>
      </c>
      <c r="E69" s="295" t="s">
        <v>124</v>
      </c>
      <c r="F69" s="295" t="s">
        <v>644</v>
      </c>
      <c r="G69" s="295" t="s">
        <v>1565</v>
      </c>
      <c r="H69" s="295" t="s">
        <v>1678</v>
      </c>
      <c r="I69" s="297">
        <v>42459.437372685185</v>
      </c>
      <c r="J69" s="297">
        <v>42459</v>
      </c>
      <c r="K69" s="297">
        <v>44281</v>
      </c>
      <c r="L69" s="297">
        <v>42156</v>
      </c>
      <c r="M69" s="298" t="s">
        <v>1679</v>
      </c>
      <c r="N69" s="296" t="str">
        <f>"Guinee,Kankan,Siguiri,Siguiri-centre"</f>
        <v>Guinee,Kankan,Siguiri,Siguiri-centre</v>
      </c>
    </row>
    <row r="70" spans="2:14" ht="27" x14ac:dyDescent="0.15">
      <c r="B70" s="295" t="str">
        <f>"19962"</f>
        <v>19962</v>
      </c>
      <c r="C70" s="295" t="str">
        <f>"D2016/106/PRG/SGG"</f>
        <v>D2016/106/PRG/SGG</v>
      </c>
      <c r="D70" s="296" t="s">
        <v>1677</v>
      </c>
      <c r="E70" s="295" t="s">
        <v>124</v>
      </c>
      <c r="F70" s="295" t="s">
        <v>644</v>
      </c>
      <c r="G70" s="295" t="s">
        <v>1565</v>
      </c>
      <c r="H70" s="295" t="s">
        <v>1678</v>
      </c>
      <c r="I70" s="297"/>
      <c r="J70" s="297">
        <v>42459</v>
      </c>
      <c r="K70" s="297">
        <v>44284</v>
      </c>
      <c r="L70" s="297">
        <v>42156</v>
      </c>
      <c r="M70" s="298" t="s">
        <v>1680</v>
      </c>
      <c r="N70" s="296" t="str">
        <f>"Guinee,Kankan,Siguiri,Siguiri-centre"</f>
        <v>Guinee,Kankan,Siguiri,Siguiri-centre</v>
      </c>
    </row>
    <row r="71" spans="2:14" ht="27" x14ac:dyDescent="0.15">
      <c r="B71" s="295" t="str">
        <f>"19816"</f>
        <v>19816</v>
      </c>
      <c r="C71" s="295" t="str">
        <f>"D2016/105/PRG/SGG"</f>
        <v>D2016/105/PRG/SGG</v>
      </c>
      <c r="D71" s="296" t="s">
        <v>1681</v>
      </c>
      <c r="E71" s="295" t="s">
        <v>124</v>
      </c>
      <c r="F71" s="295" t="s">
        <v>644</v>
      </c>
      <c r="G71" s="295" t="s">
        <v>1565</v>
      </c>
      <c r="H71" s="295" t="s">
        <v>1565</v>
      </c>
      <c r="I71" s="297">
        <v>41813.540486111109</v>
      </c>
      <c r="J71" s="297">
        <v>42459</v>
      </c>
      <c r="K71" s="297">
        <v>44284</v>
      </c>
      <c r="L71" s="297">
        <v>41813</v>
      </c>
      <c r="M71" s="298" t="s">
        <v>1682</v>
      </c>
      <c r="N71" s="296" t="str">
        <f>"Guinee,Kankan,Mandiana,Morodou"</f>
        <v>Guinee,Kankan,Mandiana,Morodou</v>
      </c>
    </row>
    <row r="72" spans="2:14" ht="27" x14ac:dyDescent="0.15">
      <c r="B72" s="295" t="str">
        <f>"19817"</f>
        <v>19817</v>
      </c>
      <c r="C72" s="295" t="str">
        <f>"D2016/102/PRG/SGG"</f>
        <v>D2016/102/PRG/SGG</v>
      </c>
      <c r="D72" s="296" t="s">
        <v>1681</v>
      </c>
      <c r="E72" s="295" t="s">
        <v>124</v>
      </c>
      <c r="F72" s="295" t="s">
        <v>644</v>
      </c>
      <c r="G72" s="295" t="s">
        <v>1565</v>
      </c>
      <c r="H72" s="295" t="s">
        <v>1565</v>
      </c>
      <c r="I72" s="297">
        <v>41813.541828703703</v>
      </c>
      <c r="J72" s="297">
        <v>42459</v>
      </c>
      <c r="K72" s="297">
        <v>44284</v>
      </c>
      <c r="L72" s="297">
        <v>41813</v>
      </c>
      <c r="M72" s="298" t="s">
        <v>1683</v>
      </c>
      <c r="N72" s="296" t="str">
        <f>"Guinee,Kankan,Mandiana,Morodou"</f>
        <v>Guinee,Kankan,Mandiana,Morodou</v>
      </c>
    </row>
    <row r="73" spans="2:14" ht="27" x14ac:dyDescent="0.15">
      <c r="B73" s="295" t="str">
        <f>"19815"</f>
        <v>19815</v>
      </c>
      <c r="C73" s="295" t="str">
        <f>"D2016/100/PRG/SGG"</f>
        <v>D2016/100/PRG/SGG</v>
      </c>
      <c r="D73" s="296" t="s">
        <v>1681</v>
      </c>
      <c r="E73" s="295" t="s">
        <v>124</v>
      </c>
      <c r="F73" s="295" t="s">
        <v>644</v>
      </c>
      <c r="G73" s="295" t="s">
        <v>1565</v>
      </c>
      <c r="H73" s="295" t="s">
        <v>1565</v>
      </c>
      <c r="I73" s="297">
        <v>42156.539594907408</v>
      </c>
      <c r="J73" s="297">
        <v>42459</v>
      </c>
      <c r="K73" s="297">
        <v>44284</v>
      </c>
      <c r="L73" s="297">
        <v>42156</v>
      </c>
      <c r="M73" s="298" t="s">
        <v>1684</v>
      </c>
      <c r="N73" s="296" t="str">
        <f>"Guinee,Kankan,Mandiana,Morodou"</f>
        <v>Guinee,Kankan,Mandiana,Morodou</v>
      </c>
    </row>
    <row r="74" spans="2:14" ht="27" x14ac:dyDescent="0.15">
      <c r="B74" s="295" t="str">
        <f>"19965"</f>
        <v>19965</v>
      </c>
      <c r="C74" s="295" t="str">
        <f>"D2016/100/PRG/SGG"</f>
        <v>D2016/100/PRG/SGG</v>
      </c>
      <c r="D74" s="296" t="s">
        <v>1685</v>
      </c>
      <c r="E74" s="295" t="s">
        <v>124</v>
      </c>
      <c r="F74" s="295" t="s">
        <v>644</v>
      </c>
      <c r="G74" s="295" t="s">
        <v>1565</v>
      </c>
      <c r="H74" s="295" t="s">
        <v>1678</v>
      </c>
      <c r="I74" s="297">
        <v>42459.441550925927</v>
      </c>
      <c r="J74" s="297">
        <v>42459</v>
      </c>
      <c r="K74" s="297">
        <v>44284</v>
      </c>
      <c r="L74" s="297">
        <v>42156</v>
      </c>
      <c r="M74" s="298" t="s">
        <v>1686</v>
      </c>
      <c r="N74" s="296" t="str">
        <f>"Guinee,Kankan,Mandiana,Balandougouba"</f>
        <v>Guinee,Kankan,Mandiana,Balandougouba</v>
      </c>
    </row>
    <row r="75" spans="2:14" ht="27" x14ac:dyDescent="0.15">
      <c r="B75" s="295" t="str">
        <f>"19966"</f>
        <v>19966</v>
      </c>
      <c r="C75" s="295" t="str">
        <f>"D2016/099/PRG/SGG"</f>
        <v>D2016/099/PRG/SGG</v>
      </c>
      <c r="D75" s="296" t="s">
        <v>1685</v>
      </c>
      <c r="E75" s="295" t="s">
        <v>124</v>
      </c>
      <c r="F75" s="295" t="s">
        <v>644</v>
      </c>
      <c r="G75" s="295" t="s">
        <v>1565</v>
      </c>
      <c r="H75" s="295" t="s">
        <v>1678</v>
      </c>
      <c r="I75" s="297">
        <v>42459.444166666668</v>
      </c>
      <c r="J75" s="297">
        <v>42459</v>
      </c>
      <c r="K75" s="297">
        <v>44284</v>
      </c>
      <c r="L75" s="297">
        <v>42156</v>
      </c>
      <c r="M75" s="298" t="s">
        <v>1687</v>
      </c>
      <c r="N75" s="296" t="str">
        <f>"Guinee,Kankan,Mandiana,Balandougouba"</f>
        <v>Guinee,Kankan,Mandiana,Balandougouba</v>
      </c>
    </row>
    <row r="76" spans="2:14" ht="18.75" x14ac:dyDescent="0.15">
      <c r="B76" s="295" t="str">
        <f>"20283"</f>
        <v>20283</v>
      </c>
      <c r="C76" s="295" t="str">
        <f>"D2016/050/PRG/SGG"</f>
        <v>D2016/050/PRG/SGG</v>
      </c>
      <c r="D76" s="296" t="s">
        <v>1688</v>
      </c>
      <c r="E76" s="295" t="s">
        <v>72</v>
      </c>
      <c r="F76" s="295" t="s">
        <v>644</v>
      </c>
      <c r="G76" s="295" t="s">
        <v>1565</v>
      </c>
      <c r="H76" s="295" t="s">
        <v>1565</v>
      </c>
      <c r="I76" s="297">
        <v>42432.411631944444</v>
      </c>
      <c r="J76" s="297">
        <v>42441</v>
      </c>
      <c r="K76" s="297">
        <v>47918</v>
      </c>
      <c r="L76" s="297">
        <v>42331</v>
      </c>
      <c r="M76" s="298" t="s">
        <v>1689</v>
      </c>
      <c r="N76" s="296" t="str">
        <f>"Guinee,Kankan,Siguiri,Naboun, Niagassola"</f>
        <v>Guinee,Kankan,Siguiri,Naboun, Niagassola</v>
      </c>
    </row>
    <row r="77" spans="2:14" ht="27" x14ac:dyDescent="0.15">
      <c r="B77" s="295" t="str">
        <f>"19272"</f>
        <v>19272</v>
      </c>
      <c r="C77" s="295" t="str">
        <f>"D2016/043/MMG/SGG"</f>
        <v>D2016/043/MMG/SGG</v>
      </c>
      <c r="D77" s="296" t="s">
        <v>1690</v>
      </c>
      <c r="E77" s="295" t="s">
        <v>68</v>
      </c>
      <c r="F77" s="295" t="s">
        <v>1568</v>
      </c>
      <c r="G77" s="295" t="s">
        <v>1565</v>
      </c>
      <c r="H77" s="295" t="s">
        <v>1565</v>
      </c>
      <c r="I77" s="297"/>
      <c r="J77" s="297">
        <v>42422</v>
      </c>
      <c r="K77" s="297">
        <v>51553</v>
      </c>
      <c r="L77" s="297">
        <v>42285</v>
      </c>
      <c r="M77" s="298" t="s">
        <v>1691</v>
      </c>
      <c r="N77" s="296" t="str">
        <f>"Guinee,Kindia,Kindia,Bangouya, Souguéta; Mamou,Dalaba,Koba; Pita,Gongoret (P), Sangaréah"</f>
        <v>Guinee,Kindia,Kindia,Bangouya, Souguéta; Mamou,Dalaba,Koba; Pita,Gongoret (P), Sangaréah</v>
      </c>
    </row>
    <row r="78" spans="2:14" ht="18.75" x14ac:dyDescent="0.15">
      <c r="B78" s="295" t="str">
        <f>"19183"</f>
        <v>19183</v>
      </c>
      <c r="C78" s="295" t="str">
        <f>"D2015/135/MMG/SGG"</f>
        <v>D2015/135/MMG/SGG</v>
      </c>
      <c r="D78" s="296" t="s">
        <v>1582</v>
      </c>
      <c r="E78" s="295" t="s">
        <v>72</v>
      </c>
      <c r="F78" s="295" t="s">
        <v>1568</v>
      </c>
      <c r="G78" s="295" t="s">
        <v>1565</v>
      </c>
      <c r="H78" s="295" t="s">
        <v>1565</v>
      </c>
      <c r="I78" s="297"/>
      <c r="J78" s="297">
        <v>42202</v>
      </c>
      <c r="K78" s="297">
        <v>47680</v>
      </c>
      <c r="L78" s="297">
        <v>42173</v>
      </c>
      <c r="M78" s="298" t="s">
        <v>1692</v>
      </c>
      <c r="N78" s="296" t="str">
        <f>"Guinee,Boke,Boke,Boké-centre, Kanfarandé, Tanéné"</f>
        <v>Guinee,Boke,Boke,Boké-centre, Kanfarandé, Tanéné</v>
      </c>
    </row>
    <row r="79" spans="2:14" ht="18.75" x14ac:dyDescent="0.15">
      <c r="B79" s="295" t="str">
        <f>"19659"</f>
        <v>19659</v>
      </c>
      <c r="C79" s="295" t="str">
        <f>"D2015/042/PRG/SGG"</f>
        <v>D2015/042/PRG/SGG</v>
      </c>
      <c r="D79" s="296" t="s">
        <v>1693</v>
      </c>
      <c r="E79" s="295" t="s">
        <v>72</v>
      </c>
      <c r="F79" s="295" t="s">
        <v>644</v>
      </c>
      <c r="G79" s="295" t="s">
        <v>1565</v>
      </c>
      <c r="H79" s="295" t="s">
        <v>1565</v>
      </c>
      <c r="I79" s="297">
        <v>43257.417245370372</v>
      </c>
      <c r="J79" s="297">
        <v>42090</v>
      </c>
      <c r="K79" s="297">
        <v>47568</v>
      </c>
      <c r="L79" s="297">
        <v>41683</v>
      </c>
      <c r="M79" s="298" t="s">
        <v>1694</v>
      </c>
      <c r="N79" s="296" t="str">
        <f>"Guinee,Kankan,Mandiana,Mandiana-centre"</f>
        <v>Guinee,Kankan,Mandiana,Mandiana-centre</v>
      </c>
    </row>
    <row r="80" spans="2:14" ht="18.75" x14ac:dyDescent="0.15">
      <c r="B80" s="295" t="str">
        <f>"19660"</f>
        <v>19660</v>
      </c>
      <c r="C80" s="295" t="str">
        <f>"D2015/042/PRG/SGG"</f>
        <v>D2015/042/PRG/SGG</v>
      </c>
      <c r="D80" s="296" t="s">
        <v>1693</v>
      </c>
      <c r="E80" s="295" t="s">
        <v>72</v>
      </c>
      <c r="F80" s="295" t="s">
        <v>644</v>
      </c>
      <c r="G80" s="295" t="s">
        <v>1565</v>
      </c>
      <c r="H80" s="295" t="s">
        <v>1565</v>
      </c>
      <c r="I80" s="297">
        <v>43257.425104166665</v>
      </c>
      <c r="J80" s="297">
        <v>42090</v>
      </c>
      <c r="K80" s="297">
        <v>47568</v>
      </c>
      <c r="L80" s="297">
        <v>41683</v>
      </c>
      <c r="M80" s="298" t="s">
        <v>1695</v>
      </c>
      <c r="N80" s="296" t="str">
        <f>"Guinee,Kankan,Mandiana,Koundian"</f>
        <v>Guinee,Kankan,Mandiana,Koundian</v>
      </c>
    </row>
    <row r="81" spans="2:14" ht="18.75" x14ac:dyDescent="0.15">
      <c r="B81" s="295" t="str">
        <f>"18658"</f>
        <v>18658</v>
      </c>
      <c r="C81" s="295" t="str">
        <f>"D2013/150/PRG/SGG"</f>
        <v>D2013/150/PRG/SGG</v>
      </c>
      <c r="D81" s="296" t="s">
        <v>1696</v>
      </c>
      <c r="E81" s="295" t="s">
        <v>72</v>
      </c>
      <c r="F81" s="295" t="s">
        <v>1594</v>
      </c>
      <c r="G81" s="295" t="s">
        <v>1565</v>
      </c>
      <c r="H81" s="295" t="s">
        <v>1565</v>
      </c>
      <c r="I81" s="297"/>
      <c r="J81" s="297">
        <v>41542</v>
      </c>
      <c r="K81" s="297">
        <v>47020</v>
      </c>
      <c r="L81" s="297">
        <v>41533</v>
      </c>
      <c r="M81" s="298" t="s">
        <v>1697</v>
      </c>
      <c r="N81" s="296" t="str">
        <f>"Guinee,N'Zerekore,Lola,N'Zoo"</f>
        <v>Guinee,N'Zerekore,Lola,N'Zoo</v>
      </c>
    </row>
    <row r="82" spans="2:14" ht="18.75" x14ac:dyDescent="0.15">
      <c r="B82" s="295" t="str">
        <f>"18468"</f>
        <v>18468</v>
      </c>
      <c r="C82" s="295" t="str">
        <f>"D2013/146/PRG/SGG"</f>
        <v>D2013/146/PRG/SGG</v>
      </c>
      <c r="D82" s="296" t="s">
        <v>1698</v>
      </c>
      <c r="E82" s="295" t="s">
        <v>72</v>
      </c>
      <c r="F82" s="295" t="s">
        <v>1568</v>
      </c>
      <c r="G82" s="295" t="s">
        <v>1565</v>
      </c>
      <c r="H82" s="295" t="s">
        <v>1565</v>
      </c>
      <c r="I82" s="297">
        <v>41522.716643518521</v>
      </c>
      <c r="J82" s="297">
        <v>41522</v>
      </c>
      <c r="K82" s="297">
        <v>47000</v>
      </c>
      <c r="L82" s="297">
        <v>41197</v>
      </c>
      <c r="M82" s="298" t="s">
        <v>1699</v>
      </c>
      <c r="N82" s="296" t="str">
        <f>"Guinee,Boke,Boffa,Douprou, Mankountan, Tougnifily"</f>
        <v>Guinee,Boke,Boffa,Douprou, Mankountan, Tougnifily</v>
      </c>
    </row>
    <row r="83" spans="2:14" ht="27" x14ac:dyDescent="0.15">
      <c r="B83" s="295" t="str">
        <f>"18861"</f>
        <v>18861</v>
      </c>
      <c r="C83" s="295" t="str">
        <f>"D2013/084/PRG/SGG"</f>
        <v>D2013/084/PRG/SGG</v>
      </c>
      <c r="D83" s="296" t="s">
        <v>1700</v>
      </c>
      <c r="E83" s="295" t="s">
        <v>68</v>
      </c>
      <c r="F83" s="295" t="s">
        <v>1594</v>
      </c>
      <c r="G83" s="295" t="s">
        <v>1565</v>
      </c>
      <c r="H83" s="295" t="s">
        <v>1565</v>
      </c>
      <c r="I83" s="297"/>
      <c r="J83" s="297">
        <v>41396</v>
      </c>
      <c r="K83" s="297">
        <v>50496</v>
      </c>
      <c r="L83" s="297">
        <v>41313</v>
      </c>
      <c r="M83" s="298" t="s">
        <v>1701</v>
      </c>
      <c r="N83" s="296" t="str">
        <f>"Guinee,Kankan,Kerouane,Konsankoro, Sibiribaro; N'Zerekore,Beyla,Nionsomoridou; Macenta,Kouankan, Vassérédou"</f>
        <v>Guinee,Kankan,Kerouane,Konsankoro, Sibiribaro; N'Zerekore,Beyla,Nionsomoridou; Macenta,Kouankan, Vassérédou</v>
      </c>
    </row>
    <row r="84" spans="2:14" ht="27" x14ac:dyDescent="0.15">
      <c r="B84" s="295" t="str">
        <f>"17334"</f>
        <v>17334</v>
      </c>
      <c r="C84" s="295" t="str">
        <f>"D2012/100/PRG/SGG"</f>
        <v>D2012/100/PRG/SGG</v>
      </c>
      <c r="D84" s="296" t="s">
        <v>1702</v>
      </c>
      <c r="E84" s="295" t="s">
        <v>68</v>
      </c>
      <c r="F84" s="295" t="s">
        <v>1594</v>
      </c>
      <c r="G84" s="295" t="s">
        <v>1565</v>
      </c>
      <c r="H84" s="295" t="s">
        <v>1565</v>
      </c>
      <c r="I84" s="297"/>
      <c r="J84" s="297">
        <v>41145</v>
      </c>
      <c r="K84" s="297">
        <v>50275</v>
      </c>
      <c r="L84" s="297"/>
      <c r="M84" s="298" t="s">
        <v>1703</v>
      </c>
      <c r="N84" s="296" t="str">
        <f>"Guinee,Faranah,Faranah,Faranah-centre, Heremakono, Maréla, Passaya, Sandenia"</f>
        <v>Guinee,Faranah,Faranah,Faranah-centre, Heremakono, Maréla, Passaya, Sandenia</v>
      </c>
    </row>
    <row r="85" spans="2:14" ht="18.75" x14ac:dyDescent="0.15">
      <c r="B85" s="295" t="str">
        <f>"10917"</f>
        <v>10917</v>
      </c>
      <c r="C85" s="295" t="str">
        <f>"D2010/274/PRG/SGG"</f>
        <v>D2010/274/PRG/SGG</v>
      </c>
      <c r="D85" s="296" t="s">
        <v>1704</v>
      </c>
      <c r="E85" s="295" t="s">
        <v>68</v>
      </c>
      <c r="F85" s="295" t="s">
        <v>1568</v>
      </c>
      <c r="G85" s="295" t="s">
        <v>1565</v>
      </c>
      <c r="H85" s="295" t="s">
        <v>1565</v>
      </c>
      <c r="I85" s="297"/>
      <c r="J85" s="297">
        <v>40494</v>
      </c>
      <c r="K85" s="297">
        <v>49624</v>
      </c>
      <c r="L85" s="297">
        <v>40066</v>
      </c>
      <c r="M85" s="298" t="s">
        <v>1705</v>
      </c>
      <c r="N85" s="296" t="str">
        <f>"Guinee,Boke,Gaoual,Koumbia, Wendou M'bour"</f>
        <v>Guinee,Boke,Gaoual,Koumbia, Wendou M'bour</v>
      </c>
    </row>
    <row r="86" spans="2:14" ht="27" x14ac:dyDescent="0.15">
      <c r="B86" s="295" t="str">
        <f>"9682"</f>
        <v>9682</v>
      </c>
      <c r="C86" s="295" t="str">
        <f>"D2010/245/PRG/CNDD/SGG"</f>
        <v>D2010/245/PRG/CNDD/SGG</v>
      </c>
      <c r="D86" s="296" t="s">
        <v>1706</v>
      </c>
      <c r="E86" s="295" t="s">
        <v>68</v>
      </c>
      <c r="F86" s="295" t="s">
        <v>1568</v>
      </c>
      <c r="G86" s="295" t="s">
        <v>1565</v>
      </c>
      <c r="H86" s="295" t="s">
        <v>1565</v>
      </c>
      <c r="I86" s="297"/>
      <c r="J86" s="297">
        <v>40476</v>
      </c>
      <c r="K86" s="297">
        <v>49606</v>
      </c>
      <c r="L86" s="297">
        <v>40259</v>
      </c>
      <c r="M86" s="298" t="s">
        <v>1707</v>
      </c>
      <c r="N86" s="296" t="str">
        <f>"Guinee,Boke,Boffa,Kolia; Boke,Malapouyah, Sangaredi, Tanéné; Kindia,Telimele,Daramagnak"</f>
        <v>Guinee,Boke,Boffa,Kolia; Boke,Malapouyah, Sangaredi, Tanéné; Kindia,Telimele,Daramagnak</v>
      </c>
    </row>
    <row r="87" spans="2:14" ht="18.75" x14ac:dyDescent="0.15">
      <c r="B87" s="295" t="str">
        <f>"877"</f>
        <v>877</v>
      </c>
      <c r="C87" s="295" t="str">
        <f>"D2002/082/PRG/SGG"</f>
        <v>D2002/082/PRG/SGG</v>
      </c>
      <c r="D87" s="296" t="s">
        <v>1578</v>
      </c>
      <c r="E87" s="295" t="s">
        <v>68</v>
      </c>
      <c r="F87" s="295" t="s">
        <v>1568</v>
      </c>
      <c r="G87" s="295" t="s">
        <v>1565</v>
      </c>
      <c r="H87" s="295" t="s">
        <v>1565</v>
      </c>
      <c r="I87" s="297"/>
      <c r="J87" s="297">
        <v>37554</v>
      </c>
      <c r="K87" s="297">
        <v>46684</v>
      </c>
      <c r="L87" s="297"/>
      <c r="M87" s="298" t="s">
        <v>1708</v>
      </c>
      <c r="N87" s="296" t="str">
        <f>"Guinee,Boke,Boke,Dabiss, Sangaredi, Tanéné"</f>
        <v>Guinee,Boke,Boke,Dabiss, Sangaredi, Tanéné</v>
      </c>
    </row>
    <row r="88" spans="2:14" ht="18.75" x14ac:dyDescent="0.15">
      <c r="B88" s="295" t="str">
        <f>"792"</f>
        <v>792</v>
      </c>
      <c r="C88" s="295" t="str">
        <f>"D2002/082 /PRG/SGG"</f>
        <v>D2002/082 /PRG/SGG</v>
      </c>
      <c r="D88" s="296" t="s">
        <v>1578</v>
      </c>
      <c r="E88" s="295" t="s">
        <v>68</v>
      </c>
      <c r="F88" s="295" t="s">
        <v>1568</v>
      </c>
      <c r="G88" s="295" t="s">
        <v>1565</v>
      </c>
      <c r="H88" s="295" t="s">
        <v>1565</v>
      </c>
      <c r="I88" s="297"/>
      <c r="J88" s="297">
        <v>37554</v>
      </c>
      <c r="K88" s="297">
        <v>46684</v>
      </c>
      <c r="L88" s="297"/>
      <c r="M88" s="298" t="s">
        <v>1709</v>
      </c>
      <c r="N88" s="296" t="str">
        <f>"Guinee,Boke,Boke,Sangaredi, Tanéné; Kindia,Telimele,Missira"</f>
        <v>Guinee,Boke,Boke,Sangaredi, Tanéné; Kindia,Telimele,Missira</v>
      </c>
    </row>
    <row r="89" spans="2:14" ht="40.5" x14ac:dyDescent="0.15">
      <c r="B89" s="295" t="str">
        <f>"292"</f>
        <v>292</v>
      </c>
      <c r="C89" s="295" t="str">
        <f>"D1973/164/PRG"</f>
        <v>D1973/164/PRG</v>
      </c>
      <c r="D89" s="296" t="s">
        <v>1710</v>
      </c>
      <c r="E89" s="295" t="s">
        <v>68</v>
      </c>
      <c r="F89" s="295" t="s">
        <v>1568</v>
      </c>
      <c r="G89" s="295" t="s">
        <v>1565</v>
      </c>
      <c r="H89" s="295" t="s">
        <v>1565</v>
      </c>
      <c r="I89" s="297"/>
      <c r="J89" s="297">
        <v>23602</v>
      </c>
      <c r="K89" s="297">
        <v>45716</v>
      </c>
      <c r="L89" s="297"/>
      <c r="M89" s="298" t="s">
        <v>1711</v>
      </c>
      <c r="N89" s="296" t="str">
        <f>"Guinee,Boke,Boffa,Kolia, Lisso; Fria,Baguinet, Banguigny, Fria, Tormélin; Kindia,Dubreka,Badi, Ouassou, Tanéné, Tondon; Telimele,Daramagnak, Konsotami"</f>
        <v>Guinee,Boke,Boffa,Kolia, Lisso; Fria,Baguinet, Banguigny, Fria, Tormélin; Kindia,Dubreka,Badi, Ouassou, Tanéné, Tondon; Telimele,Daramagnak, Konsotami</v>
      </c>
    </row>
    <row r="90" spans="2:14" ht="27" x14ac:dyDescent="0.15">
      <c r="B90" s="295" t="str">
        <f>"305"</f>
        <v>305</v>
      </c>
      <c r="C90" s="295" t="str">
        <f>"D/252/PRG"</f>
        <v>D/252/PRG</v>
      </c>
      <c r="D90" s="296" t="s">
        <v>1572</v>
      </c>
      <c r="E90" s="295" t="s">
        <v>68</v>
      </c>
      <c r="F90" s="295" t="s">
        <v>1568</v>
      </c>
      <c r="G90" s="295" t="s">
        <v>1565</v>
      </c>
      <c r="H90" s="295" t="s">
        <v>1565</v>
      </c>
      <c r="I90" s="297"/>
      <c r="J90" s="297">
        <v>23551</v>
      </c>
      <c r="K90" s="297">
        <v>50943</v>
      </c>
      <c r="L90" s="297"/>
      <c r="M90" s="298" t="s">
        <v>1712</v>
      </c>
      <c r="N90" s="296" t="str">
        <f>"Guinee,Boke,Boke,Sangaredi; Kindia,Telimele,Daramagnak, Missira"</f>
        <v>Guinee,Boke,Boke,Sangaredi; Kindia,Telimele,Daramagnak, Missira</v>
      </c>
    </row>
    <row r="91" spans="2:14" ht="18.75" x14ac:dyDescent="0.15">
      <c r="B91" s="295" t="str">
        <f>"22962"</f>
        <v>22962</v>
      </c>
      <c r="C91" s="295" t="str">
        <f>"D/2020/312/PRG/SGG"</f>
        <v>D/2020/312/PRG/SGG</v>
      </c>
      <c r="D91" s="296" t="s">
        <v>1600</v>
      </c>
      <c r="E91" s="295" t="s">
        <v>72</v>
      </c>
      <c r="F91" s="295" t="s">
        <v>644</v>
      </c>
      <c r="G91" s="295" t="s">
        <v>1565</v>
      </c>
      <c r="H91" s="295" t="s">
        <v>1565</v>
      </c>
      <c r="I91" s="297">
        <v>44047.674502314818</v>
      </c>
      <c r="J91" s="297">
        <v>44182</v>
      </c>
      <c r="K91" s="297">
        <v>49659</v>
      </c>
      <c r="L91" s="297">
        <v>43972</v>
      </c>
      <c r="M91" s="298" t="s">
        <v>1713</v>
      </c>
      <c r="N91" s="296" t="str">
        <f>"Guinee,Kankan,Kouroussa,Baro, Kiniéro"</f>
        <v>Guinee,Kankan,Kouroussa,Baro, Kiniéro</v>
      </c>
    </row>
    <row r="92" spans="2:14" ht="18.75" x14ac:dyDescent="0.15">
      <c r="B92" s="295" t="str">
        <f>"22963"</f>
        <v>22963</v>
      </c>
      <c r="C92" s="295" t="str">
        <f>"D/2020/310/PRG/SGG"</f>
        <v>D/2020/310/PRG/SGG</v>
      </c>
      <c r="D92" s="296" t="s">
        <v>1600</v>
      </c>
      <c r="E92" s="295" t="s">
        <v>72</v>
      </c>
      <c r="F92" s="295" t="s">
        <v>644</v>
      </c>
      <c r="G92" s="295" t="s">
        <v>1565</v>
      </c>
      <c r="H92" s="295" t="s">
        <v>1565</v>
      </c>
      <c r="I92" s="297">
        <v>44047.691712962966</v>
      </c>
      <c r="J92" s="297">
        <v>44182</v>
      </c>
      <c r="K92" s="297">
        <v>49659</v>
      </c>
      <c r="L92" s="297">
        <v>43972</v>
      </c>
      <c r="M92" s="298" t="s">
        <v>1714</v>
      </c>
      <c r="N92" s="296" t="str">
        <f>"Guinee,Kankan,Kouroussa,Babila, Kouroussa-centre"</f>
        <v>Guinee,Kankan,Kouroussa,Babila, Kouroussa-centre</v>
      </c>
    </row>
    <row r="93" spans="2:14" ht="27" x14ac:dyDescent="0.15">
      <c r="B93" s="295" t="str">
        <f>"22607"</f>
        <v>22607</v>
      </c>
      <c r="C93" s="295" t="str">
        <f>"D/2020/118/"</f>
        <v>D/2020/118/</v>
      </c>
      <c r="D93" s="296" t="s">
        <v>1644</v>
      </c>
      <c r="E93" s="295" t="s">
        <v>72</v>
      </c>
      <c r="F93" s="295" t="s">
        <v>1568</v>
      </c>
      <c r="G93" s="295" t="s">
        <v>1565</v>
      </c>
      <c r="H93" s="295" t="s">
        <v>1565</v>
      </c>
      <c r="I93" s="297">
        <v>43564.497303240743</v>
      </c>
      <c r="J93" s="297">
        <v>44001</v>
      </c>
      <c r="K93" s="297">
        <v>49478</v>
      </c>
      <c r="L93" s="297">
        <v>43447</v>
      </c>
      <c r="M93" s="298" t="s">
        <v>1715</v>
      </c>
      <c r="N93" s="296" t="str">
        <f>"Guinee,Boke,Fria,Baguinet, Banguigny; Kindia,Telimele,Kollet, Sogolon, Thionthian"</f>
        <v>Guinee,Boke,Fria,Baguinet, Banguigny; Kindia,Telimele,Kollet, Sogolon, Thionthian</v>
      </c>
    </row>
    <row r="94" spans="2:14" ht="18.75" x14ac:dyDescent="0.15">
      <c r="B94" s="295" t="str">
        <f>"22816"</f>
        <v>22816</v>
      </c>
      <c r="C94" s="295" t="str">
        <f>"D/2020/058/PRG/SGG"</f>
        <v>D/2020/058/PRG/SGG</v>
      </c>
      <c r="D94" s="296" t="s">
        <v>1716</v>
      </c>
      <c r="E94" s="295" t="s">
        <v>68</v>
      </c>
      <c r="F94" s="295" t="s">
        <v>1568</v>
      </c>
      <c r="G94" s="295" t="s">
        <v>1565</v>
      </c>
      <c r="H94" s="295" t="s">
        <v>1565</v>
      </c>
      <c r="I94" s="297">
        <v>43840.459513888891</v>
      </c>
      <c r="J94" s="297">
        <v>43894</v>
      </c>
      <c r="K94" s="297">
        <v>53024</v>
      </c>
      <c r="L94" s="297">
        <v>43838</v>
      </c>
      <c r="M94" s="298" t="s">
        <v>1717</v>
      </c>
      <c r="N94" s="296" t="str">
        <f>"Guinee,Boke,Gaoual,Koumbia; Kindia,Telimele,Koba, Missira"</f>
        <v>Guinee,Boke,Gaoual,Koumbia; Kindia,Telimele,Koba, Missira</v>
      </c>
    </row>
    <row r="95" spans="2:14" ht="27" x14ac:dyDescent="0.15">
      <c r="B95" s="295" t="str">
        <f>"22709"</f>
        <v>22709</v>
      </c>
      <c r="C95" s="295" t="str">
        <f>"D/2019/291/PRG/SGG"</f>
        <v>D/2019/291/PRG/SGG</v>
      </c>
      <c r="D95" s="296" t="s">
        <v>150</v>
      </c>
      <c r="E95" s="295" t="s">
        <v>72</v>
      </c>
      <c r="F95" s="295" t="s">
        <v>1718</v>
      </c>
      <c r="G95" s="295" t="s">
        <v>1565</v>
      </c>
      <c r="H95" s="295" t="s">
        <v>1565</v>
      </c>
      <c r="I95" s="297">
        <v>43720.494131944448</v>
      </c>
      <c r="J95" s="297">
        <v>43775</v>
      </c>
      <c r="K95" s="297">
        <v>49253</v>
      </c>
      <c r="L95" s="297">
        <v>43546</v>
      </c>
      <c r="M95" s="298" t="s">
        <v>1719</v>
      </c>
      <c r="N95" s="296" t="str">
        <f>"Guinee,N'Zerekore,Lola,Kokota, Lola-centre; N'Zerekore,Soulouta, Yalenzou"</f>
        <v>Guinee,N'Zerekore,Lola,Kokota, Lola-centre; N'Zerekore,Soulouta, Yalenzou</v>
      </c>
    </row>
    <row r="96" spans="2:14" ht="18.75" x14ac:dyDescent="0.15">
      <c r="B96" s="295" t="str">
        <f>"22349"</f>
        <v>22349</v>
      </c>
      <c r="C96" s="295" t="str">
        <f>"D/2018/287/PRG/SGG"</f>
        <v>D/2018/287/PRG/SGG</v>
      </c>
      <c r="D96" s="296" t="s">
        <v>1720</v>
      </c>
      <c r="E96" s="295" t="s">
        <v>124</v>
      </c>
      <c r="F96" s="295" t="s">
        <v>644</v>
      </c>
      <c r="G96" s="295" t="s">
        <v>1565</v>
      </c>
      <c r="H96" s="295" t="s">
        <v>1565</v>
      </c>
      <c r="I96" s="297">
        <v>43216.676701388889</v>
      </c>
      <c r="J96" s="297">
        <v>43438</v>
      </c>
      <c r="K96" s="297">
        <v>45263</v>
      </c>
      <c r="L96" s="297">
        <v>43121</v>
      </c>
      <c r="M96" s="298" t="s">
        <v>1721</v>
      </c>
      <c r="N96" s="296" t="str">
        <f>"Guinee,Kankan,Mandiana,Mandiana-centre, Morodou"</f>
        <v>Guinee,Kankan,Mandiana,Mandiana-centre, Morodou</v>
      </c>
    </row>
    <row r="97" spans="2:14" ht="18.75" x14ac:dyDescent="0.15">
      <c r="B97" s="295" t="str">
        <f>"22324"</f>
        <v>22324</v>
      </c>
      <c r="C97" s="295" t="str">
        <f>"D/2018/286/PRG/SGG"</f>
        <v>D/2018/286/PRG/SGG</v>
      </c>
      <c r="D97" s="296" t="s">
        <v>1722</v>
      </c>
      <c r="E97" s="295" t="s">
        <v>124</v>
      </c>
      <c r="F97" s="295" t="s">
        <v>644</v>
      </c>
      <c r="G97" s="295" t="s">
        <v>1565</v>
      </c>
      <c r="H97" s="295" t="s">
        <v>1565</v>
      </c>
      <c r="I97" s="297">
        <v>43178.556620370371</v>
      </c>
      <c r="J97" s="297">
        <v>43438</v>
      </c>
      <c r="K97" s="297">
        <v>45263</v>
      </c>
      <c r="L97" s="297">
        <v>43038</v>
      </c>
      <c r="M97" s="298" t="s">
        <v>1723</v>
      </c>
      <c r="N97" s="296" t="str">
        <f>"Guinee,Kankan,Mandiana,Dialokoro, Kiniéran"</f>
        <v>Guinee,Kankan,Mandiana,Dialokoro, Kiniéran</v>
      </c>
    </row>
    <row r="98" spans="2:14" ht="18.75" x14ac:dyDescent="0.15">
      <c r="B98" s="295" t="str">
        <f>"22348"</f>
        <v>22348</v>
      </c>
      <c r="C98" s="295" t="str">
        <f>"D/2018/269/PRG/SGG"</f>
        <v>D/2018/269/PRG/SGG</v>
      </c>
      <c r="D98" s="296" t="s">
        <v>1724</v>
      </c>
      <c r="E98" s="295" t="s">
        <v>124</v>
      </c>
      <c r="F98" s="295" t="s">
        <v>644</v>
      </c>
      <c r="G98" s="295" t="s">
        <v>1565</v>
      </c>
      <c r="H98" s="295" t="s">
        <v>1565</v>
      </c>
      <c r="I98" s="297">
        <v>43215.647430555553</v>
      </c>
      <c r="J98" s="297">
        <v>43406</v>
      </c>
      <c r="K98" s="297">
        <v>45231</v>
      </c>
      <c r="L98" s="297">
        <v>42821</v>
      </c>
      <c r="M98" s="298" t="s">
        <v>1725</v>
      </c>
      <c r="N98" s="296" t="str">
        <f>"Guinee,Kankan,Siguiri,Niagassola"</f>
        <v>Guinee,Kankan,Siguiri,Niagassola</v>
      </c>
    </row>
    <row r="99" spans="2:14" ht="18.75" x14ac:dyDescent="0.15">
      <c r="B99" s="295" t="str">
        <f>"22345"</f>
        <v>22345</v>
      </c>
      <c r="C99" s="295" t="str">
        <f>"D/2018/268/PRG/SGG"</f>
        <v>D/2018/268/PRG/SGG</v>
      </c>
      <c r="D99" s="296" t="s">
        <v>1726</v>
      </c>
      <c r="E99" s="295" t="s">
        <v>124</v>
      </c>
      <c r="F99" s="295" t="s">
        <v>644</v>
      </c>
      <c r="G99" s="295" t="s">
        <v>1565</v>
      </c>
      <c r="H99" s="295" t="s">
        <v>1565</v>
      </c>
      <c r="I99" s="297">
        <v>43213.717094907406</v>
      </c>
      <c r="J99" s="297">
        <v>43406</v>
      </c>
      <c r="K99" s="297">
        <v>45231</v>
      </c>
      <c r="L99" s="297">
        <v>42756</v>
      </c>
      <c r="M99" s="298" t="s">
        <v>1727</v>
      </c>
      <c r="N99" s="296" t="str">
        <f>"Guinee,Kankan,Siguiri,Niagassola"</f>
        <v>Guinee,Kankan,Siguiri,Niagassola</v>
      </c>
    </row>
    <row r="100" spans="2:14" ht="18.75" x14ac:dyDescent="0.15">
      <c r="B100" s="295" t="str">
        <f>"22388"</f>
        <v>22388</v>
      </c>
      <c r="C100" s="295" t="str">
        <f>"D/2018/106/PRG/SGG"</f>
        <v>D/2018/106/PRG/SGG</v>
      </c>
      <c r="D100" s="296" t="s">
        <v>1728</v>
      </c>
      <c r="E100" s="295" t="s">
        <v>72</v>
      </c>
      <c r="F100" s="295" t="s">
        <v>1568</v>
      </c>
      <c r="G100" s="295" t="s">
        <v>1565</v>
      </c>
      <c r="H100" s="295" t="s">
        <v>1565</v>
      </c>
      <c r="I100" s="297">
        <v>43262.743900462963</v>
      </c>
      <c r="J100" s="297">
        <v>43290</v>
      </c>
      <c r="K100" s="297">
        <v>48768</v>
      </c>
      <c r="L100" s="297">
        <v>43250</v>
      </c>
      <c r="M100" s="298" t="s">
        <v>1729</v>
      </c>
      <c r="N100" s="296" t="str">
        <f>"Guinee,Boke,Boffa,Boffa, Kolia, Lisso"</f>
        <v>Guinee,Boke,Boffa,Boffa, Kolia, Lisso</v>
      </c>
    </row>
    <row r="101" spans="2:14" ht="27" x14ac:dyDescent="0.15">
      <c r="B101" s="295" t="str">
        <f>"22387"</f>
        <v>22387</v>
      </c>
      <c r="C101" s="295" t="str">
        <f>"D/2018/105/PRG/SGG"</f>
        <v>D/2018/105/PRG/SGG</v>
      </c>
      <c r="D101" s="296" t="s">
        <v>1728</v>
      </c>
      <c r="E101" s="295" t="s">
        <v>72</v>
      </c>
      <c r="F101" s="295" t="s">
        <v>1568</v>
      </c>
      <c r="G101" s="295" t="s">
        <v>1565</v>
      </c>
      <c r="H101" s="295" t="s">
        <v>1565</v>
      </c>
      <c r="I101" s="297">
        <v>43262.732569444444</v>
      </c>
      <c r="J101" s="297">
        <v>43290</v>
      </c>
      <c r="K101" s="297">
        <v>48768</v>
      </c>
      <c r="L101" s="297">
        <v>43250</v>
      </c>
      <c r="M101" s="298" t="s">
        <v>1730</v>
      </c>
      <c r="N101" s="296" t="str">
        <f>"Guinee,Boke,Boffa,Kolia, Lisso; Boke,Sangaredi; Kindia,Telimele,Daramagnak"</f>
        <v>Guinee,Boke,Boffa,Kolia, Lisso; Boke,Sangaredi; Kindia,Telimele,Daramagnak</v>
      </c>
    </row>
    <row r="102" spans="2:14" ht="27" x14ac:dyDescent="0.15">
      <c r="B102" s="295" t="str">
        <f>"22319"</f>
        <v>22319</v>
      </c>
      <c r="C102" s="295" t="str">
        <f>"D/2016/365/PRG/SGG"</f>
        <v>D/2016/365/PRG/SGG</v>
      </c>
      <c r="D102" s="296" t="s">
        <v>1731</v>
      </c>
      <c r="E102" s="295" t="s">
        <v>124</v>
      </c>
      <c r="F102" s="295" t="s">
        <v>640</v>
      </c>
      <c r="G102" s="295" t="s">
        <v>1565</v>
      </c>
      <c r="H102" s="295" t="s">
        <v>1565</v>
      </c>
      <c r="I102" s="297">
        <v>43161.452245370368</v>
      </c>
      <c r="J102" s="297">
        <v>42700</v>
      </c>
      <c r="K102" s="297">
        <v>44525</v>
      </c>
      <c r="L102" s="297">
        <v>41789</v>
      </c>
      <c r="M102" s="298" t="s">
        <v>1732</v>
      </c>
      <c r="N102" s="296" t="str">
        <f>"Guinee,Faranah,Kissidougo,Banama, Kondiadou; Kankan,Kerouane,Soromaya"</f>
        <v>Guinee,Faranah,Kissidougo,Banama, Kondiadou; Kankan,Kerouane,Soromaya</v>
      </c>
    </row>
    <row r="103" spans="2:14" ht="27" x14ac:dyDescent="0.15">
      <c r="B103" s="295" t="str">
        <f>"897"</f>
        <v>897</v>
      </c>
      <c r="C103" s="295" t="str">
        <f>"D/2016/343/PRG/SGG"</f>
        <v>D/2016/343/PRG/SGG</v>
      </c>
      <c r="D103" s="296" t="s">
        <v>1733</v>
      </c>
      <c r="E103" s="295" t="s">
        <v>72</v>
      </c>
      <c r="F103" s="295" t="s">
        <v>1568</v>
      </c>
      <c r="G103" s="295" t="s">
        <v>1565</v>
      </c>
      <c r="H103" s="295" t="s">
        <v>1678</v>
      </c>
      <c r="I103" s="297">
        <v>41417</v>
      </c>
      <c r="J103" s="297">
        <v>41499</v>
      </c>
      <c r="K103" s="297">
        <v>44521</v>
      </c>
      <c r="L103" s="297">
        <v>41417</v>
      </c>
      <c r="M103" s="298" t="s">
        <v>1734</v>
      </c>
      <c r="N103" s="296" t="str">
        <f>"Guinee,Kindia,Kindia,Damakania, Friguiagbé, Kindia-centre, Mambia, Samaya"</f>
        <v>Guinee,Kindia,Kindia,Damakania, Friguiagbé, Kindia-centre, Mambia, Samaya</v>
      </c>
    </row>
    <row r="104" spans="2:14" ht="27" x14ac:dyDescent="0.15">
      <c r="B104" s="295" t="str">
        <f>"19964"</f>
        <v>19964</v>
      </c>
      <c r="C104" s="295" t="str">
        <f>"D/2016/101/PRG/SGG"</f>
        <v>D/2016/101/PRG/SGG</v>
      </c>
      <c r="D104" s="296" t="s">
        <v>1685</v>
      </c>
      <c r="E104" s="295" t="s">
        <v>124</v>
      </c>
      <c r="F104" s="295" t="s">
        <v>644</v>
      </c>
      <c r="G104" s="295" t="s">
        <v>1565</v>
      </c>
      <c r="H104" s="295" t="s">
        <v>1678</v>
      </c>
      <c r="I104" s="297">
        <v>42459.446446759262</v>
      </c>
      <c r="J104" s="297">
        <v>42459</v>
      </c>
      <c r="K104" s="297">
        <v>44284</v>
      </c>
      <c r="L104" s="297">
        <v>42156</v>
      </c>
      <c r="M104" s="298" t="s">
        <v>1735</v>
      </c>
      <c r="N104" s="296" t="str">
        <f>"Guinee,Kankan,Mandiana,Balandougouba"</f>
        <v>Guinee,Kankan,Mandiana,Balandougouba</v>
      </c>
    </row>
    <row r="105" spans="2:14" ht="27" x14ac:dyDescent="0.15">
      <c r="B105" s="295" t="str">
        <f>"15540"</f>
        <v>15540</v>
      </c>
      <c r="C105" s="295" t="str">
        <f>"D/2011/134/PRG/SGG"</f>
        <v>D/2011/134/PRG/SGG</v>
      </c>
      <c r="D105" s="296" t="s">
        <v>1736</v>
      </c>
      <c r="E105" s="295" t="s">
        <v>68</v>
      </c>
      <c r="F105" s="295" t="s">
        <v>1594</v>
      </c>
      <c r="G105" s="295" t="s">
        <v>1565</v>
      </c>
      <c r="H105" s="295" t="s">
        <v>1565</v>
      </c>
      <c r="I105" s="297"/>
      <c r="J105" s="297">
        <v>40655</v>
      </c>
      <c r="K105" s="297">
        <v>49786</v>
      </c>
      <c r="L105" s="297">
        <v>40547</v>
      </c>
      <c r="M105" s="298" t="s">
        <v>1737</v>
      </c>
      <c r="N105" s="296" t="str">
        <f>"Guinee,Kankan,Kerouane,Konsankoro; N'Zerekore,Beyla,Boola, Nionsomoridou; Macenta,Kouankan"</f>
        <v>Guinee,Kankan,Kerouane,Konsankoro; N'Zerekore,Beyla,Boola, Nionsomoridou; Macenta,Kouankan</v>
      </c>
    </row>
    <row r="106" spans="2:14" ht="18.75" x14ac:dyDescent="0.15">
      <c r="B106" s="295" t="str">
        <f>"802"</f>
        <v>802</v>
      </c>
      <c r="C106" s="295" t="str">
        <f>"D/2003/068/PRG/SGG"</f>
        <v>D/2003/068/PRG/SGG</v>
      </c>
      <c r="D106" s="296" t="s">
        <v>1738</v>
      </c>
      <c r="E106" s="295" t="s">
        <v>68</v>
      </c>
      <c r="F106" s="295" t="s">
        <v>1594</v>
      </c>
      <c r="G106" s="295" t="s">
        <v>1565</v>
      </c>
      <c r="H106" s="295" t="s">
        <v>1565</v>
      </c>
      <c r="I106" s="297"/>
      <c r="J106" s="297">
        <v>37831</v>
      </c>
      <c r="K106" s="297">
        <v>46962</v>
      </c>
      <c r="L106" s="297"/>
      <c r="M106" s="298" t="s">
        <v>1739</v>
      </c>
      <c r="N106" s="296" t="str">
        <f>"Guinee,N'Zerekore,Lola,N'Zoo"</f>
        <v>Guinee,N'Zerekore,Lola,N'Zoo</v>
      </c>
    </row>
    <row r="107" spans="2:14" ht="27" x14ac:dyDescent="0.15">
      <c r="B107" s="295" t="str">
        <f>"7913"</f>
        <v>7913</v>
      </c>
      <c r="C107" s="295" t="str">
        <f>"D/2002/082/PRG/SGG"</f>
        <v>D/2002/082/PRG/SGG</v>
      </c>
      <c r="D107" s="296" t="s">
        <v>1578</v>
      </c>
      <c r="E107" s="295" t="s">
        <v>68</v>
      </c>
      <c r="F107" s="295" t="s">
        <v>1568</v>
      </c>
      <c r="G107" s="295" t="s">
        <v>1565</v>
      </c>
      <c r="H107" s="295" t="s">
        <v>1565</v>
      </c>
      <c r="I107" s="297"/>
      <c r="J107" s="297">
        <v>37554</v>
      </c>
      <c r="K107" s="297">
        <v>46684</v>
      </c>
      <c r="L107" s="297"/>
      <c r="M107" s="298" t="s">
        <v>1740</v>
      </c>
      <c r="N107" s="296" t="str">
        <f>"Guinee,Boke,Boke,Dabiss, Sangaredi, Tanéné; Kindia,Telimele,Missira"</f>
        <v>Guinee,Boke,Boke,Dabiss, Sangaredi, Tanéné; Kindia,Telimele,Missira</v>
      </c>
    </row>
    <row r="108" spans="2:14" ht="27" x14ac:dyDescent="0.15">
      <c r="B108" s="295" t="str">
        <f>"23073"</f>
        <v>23073</v>
      </c>
      <c r="C108" s="295" t="str">
        <f>"AUT_2021_011/MMG/DNM"</f>
        <v>AUT_2021_011/MMG/DNM</v>
      </c>
      <c r="D108" s="296" t="s">
        <v>1741</v>
      </c>
      <c r="E108" s="295" t="s">
        <v>85</v>
      </c>
      <c r="F108" s="295" t="s">
        <v>644</v>
      </c>
      <c r="G108" s="295" t="s">
        <v>1565</v>
      </c>
      <c r="H108" s="295" t="s">
        <v>1678</v>
      </c>
      <c r="I108" s="297">
        <v>44260.539687500001</v>
      </c>
      <c r="J108" s="297">
        <v>44270</v>
      </c>
      <c r="K108" s="297">
        <v>44453</v>
      </c>
      <c r="L108" s="297">
        <v>44251</v>
      </c>
      <c r="M108" s="298" t="s">
        <v>1742</v>
      </c>
      <c r="N108" s="296" t="str">
        <f>"Guinee,Kankan,Mandiana,Kantoumanina"</f>
        <v>Guinee,Kankan,Mandiana,Kantoumanina</v>
      </c>
    </row>
    <row r="109" spans="2:14" ht="27" x14ac:dyDescent="0.15">
      <c r="B109" s="295" t="str">
        <f>"23145"</f>
        <v>23145</v>
      </c>
      <c r="C109" s="295" t="str">
        <f>"AUT/2022/007/MMG/SGG"</f>
        <v>AUT/2022/007/MMG/SGG</v>
      </c>
      <c r="D109" s="296" t="s">
        <v>1743</v>
      </c>
      <c r="E109" s="295" t="s">
        <v>85</v>
      </c>
      <c r="F109" s="295" t="s">
        <v>1575</v>
      </c>
      <c r="G109" s="295" t="s">
        <v>1565</v>
      </c>
      <c r="H109" s="295" t="s">
        <v>1565</v>
      </c>
      <c r="I109" s="297">
        <v>44369.665416666663</v>
      </c>
      <c r="J109" s="297">
        <v>44379</v>
      </c>
      <c r="K109" s="297">
        <v>44790</v>
      </c>
      <c r="L109" s="297">
        <v>44356</v>
      </c>
      <c r="M109" s="298" t="s">
        <v>1744</v>
      </c>
      <c r="N109" s="296" t="str">
        <f>"Guinee,Boke,Gaoual,Malanta, Touba (5); Labe,Lelouma,Linsan-saran, Manda, Tianguel-Bori"</f>
        <v>Guinee,Boke,Gaoual,Malanta, Touba (5); Labe,Lelouma,Linsan-saran, Manda, Tianguel-Bori</v>
      </c>
    </row>
    <row r="110" spans="2:14" ht="18.75" x14ac:dyDescent="0.15">
      <c r="B110" s="295" t="str">
        <f>"23204"</f>
        <v>23204</v>
      </c>
      <c r="C110" s="295" t="str">
        <f>"AUT/2021/038/MMG/SGG"</f>
        <v>AUT/2021/038/MMG/SGG</v>
      </c>
      <c r="D110" s="296" t="s">
        <v>1745</v>
      </c>
      <c r="E110" s="295" t="s">
        <v>85</v>
      </c>
      <c r="F110" s="295" t="s">
        <v>644</v>
      </c>
      <c r="G110" s="295" t="s">
        <v>1565</v>
      </c>
      <c r="H110" s="295" t="s">
        <v>1565</v>
      </c>
      <c r="I110" s="297">
        <v>44449.531226851854</v>
      </c>
      <c r="J110" s="297">
        <v>44482</v>
      </c>
      <c r="K110" s="297">
        <v>44663</v>
      </c>
      <c r="L110" s="297">
        <v>44378</v>
      </c>
      <c r="M110" s="298" t="s">
        <v>1746</v>
      </c>
      <c r="N110" s="296" t="str">
        <f>"Guinee,Labe,Mali,Lébékéren, Touba Bagadadji"</f>
        <v>Guinee,Labe,Mali,Lébékéren, Touba Bagadadji</v>
      </c>
    </row>
    <row r="111" spans="2:14" ht="18.75" x14ac:dyDescent="0.15">
      <c r="B111" s="295" t="str">
        <f>"23203"</f>
        <v>23203</v>
      </c>
      <c r="C111" s="295" t="str">
        <f>"AUT/2021/037/MMG/SGG"</f>
        <v>AUT/2021/037/MMG/SGG</v>
      </c>
      <c r="D111" s="296" t="s">
        <v>1745</v>
      </c>
      <c r="E111" s="295" t="s">
        <v>85</v>
      </c>
      <c r="F111" s="295" t="s">
        <v>644</v>
      </c>
      <c r="G111" s="295" t="s">
        <v>1565</v>
      </c>
      <c r="H111" s="295" t="s">
        <v>1565</v>
      </c>
      <c r="I111" s="297">
        <v>44449.51972222222</v>
      </c>
      <c r="J111" s="297">
        <v>44482</v>
      </c>
      <c r="K111" s="297">
        <v>44663</v>
      </c>
      <c r="L111" s="297">
        <v>44378</v>
      </c>
      <c r="M111" s="298" t="s">
        <v>1747</v>
      </c>
      <c r="N111" s="296" t="str">
        <f>"Guinee,Boke,Koundara,Termessé"</f>
        <v>Guinee,Boke,Koundara,Termessé</v>
      </c>
    </row>
    <row r="112" spans="2:14" ht="18.75" x14ac:dyDescent="0.15">
      <c r="B112" s="295" t="str">
        <f>"23201"</f>
        <v>23201</v>
      </c>
      <c r="C112" s="295" t="str">
        <f>"AUT/2021/036/MMG/SGG"</f>
        <v>AUT/2021/036/MMG/SGG</v>
      </c>
      <c r="D112" s="296" t="s">
        <v>1745</v>
      </c>
      <c r="E112" s="295" t="s">
        <v>85</v>
      </c>
      <c r="F112" s="295" t="s">
        <v>644</v>
      </c>
      <c r="G112" s="295" t="s">
        <v>1565</v>
      </c>
      <c r="H112" s="295" t="s">
        <v>1565</v>
      </c>
      <c r="I112" s="297">
        <v>44449.491157407407</v>
      </c>
      <c r="J112" s="297">
        <v>44482</v>
      </c>
      <c r="K112" s="297">
        <v>44663</v>
      </c>
      <c r="L112" s="297">
        <v>44378</v>
      </c>
      <c r="M112" s="298" t="s">
        <v>1748</v>
      </c>
      <c r="N112" s="296" t="str">
        <f>"Guinee,Boke,Koundara,Termessé; Labe,Mali,Touba Bagadadji"</f>
        <v>Guinee,Boke,Koundara,Termessé; Labe,Mali,Touba Bagadadji</v>
      </c>
    </row>
    <row r="113" spans="2:14" ht="18.75" x14ac:dyDescent="0.15">
      <c r="B113" s="295" t="str">
        <f>"23200"</f>
        <v>23200</v>
      </c>
      <c r="C113" s="295" t="str">
        <f>"AUT/2021/035/MMG/SGG"</f>
        <v>AUT/2021/035/MMG/SGG</v>
      </c>
      <c r="D113" s="296" t="s">
        <v>1745</v>
      </c>
      <c r="E113" s="295" t="s">
        <v>85</v>
      </c>
      <c r="F113" s="295" t="s">
        <v>644</v>
      </c>
      <c r="G113" s="295" t="s">
        <v>1565</v>
      </c>
      <c r="H113" s="295" t="s">
        <v>1565</v>
      </c>
      <c r="I113" s="297">
        <v>44449.476539351854</v>
      </c>
      <c r="J113" s="297">
        <v>44482</v>
      </c>
      <c r="K113" s="297">
        <v>44663</v>
      </c>
      <c r="L113" s="297">
        <v>44378</v>
      </c>
      <c r="M113" s="298" t="s">
        <v>1749</v>
      </c>
      <c r="N113" s="296" t="str">
        <f>"Guinee,Boke,Koundara,Termessé; Labe,Mali,Touba Bagadadji"</f>
        <v>Guinee,Boke,Koundara,Termessé; Labe,Mali,Touba Bagadadji</v>
      </c>
    </row>
    <row r="114" spans="2:14" ht="18.75" x14ac:dyDescent="0.15">
      <c r="B114" s="295" t="str">
        <f>"23202"</f>
        <v>23202</v>
      </c>
      <c r="C114" s="295" t="str">
        <f>"AUT/2021/034/MMG/SGG"</f>
        <v>AUT/2021/034/MMG/SGG</v>
      </c>
      <c r="D114" s="296" t="s">
        <v>1745</v>
      </c>
      <c r="E114" s="295" t="s">
        <v>85</v>
      </c>
      <c r="F114" s="295" t="s">
        <v>644</v>
      </c>
      <c r="G114" s="295" t="s">
        <v>1565</v>
      </c>
      <c r="H114" s="295" t="s">
        <v>1565</v>
      </c>
      <c r="I114" s="297">
        <v>44449.506041666667</v>
      </c>
      <c r="J114" s="297">
        <v>44482</v>
      </c>
      <c r="K114" s="297">
        <v>44663</v>
      </c>
      <c r="L114" s="297">
        <v>44378</v>
      </c>
      <c r="M114" s="298" t="s">
        <v>1750</v>
      </c>
      <c r="N114" s="296" t="str">
        <f>"Guinee,Boke,Koundara,Termessé; Labe,Mali,Touba Bagadadji"</f>
        <v>Guinee,Boke,Koundara,Termessé; Labe,Mali,Touba Bagadadji</v>
      </c>
    </row>
    <row r="115" spans="2:14" ht="27" x14ac:dyDescent="0.15">
      <c r="B115" s="295" t="str">
        <f>"23031"</f>
        <v>23031</v>
      </c>
      <c r="C115" s="295" t="str">
        <f>"AUT N°2021/004/MMG/DNM"</f>
        <v>AUT N°2021/004/MMG/DNM</v>
      </c>
      <c r="D115" s="296" t="s">
        <v>1751</v>
      </c>
      <c r="E115" s="295" t="s">
        <v>85</v>
      </c>
      <c r="F115" s="295" t="s">
        <v>644</v>
      </c>
      <c r="G115" s="295" t="s">
        <v>1565</v>
      </c>
      <c r="H115" s="295" t="s">
        <v>1565</v>
      </c>
      <c r="I115" s="297">
        <v>44195.699282407404</v>
      </c>
      <c r="J115" s="297">
        <v>44201</v>
      </c>
      <c r="K115" s="297">
        <v>44381</v>
      </c>
      <c r="L115" s="297">
        <v>44187</v>
      </c>
      <c r="M115" s="298" t="s">
        <v>1752</v>
      </c>
      <c r="N115" s="296" t="str">
        <f>"Guinee,Kankan,Siguiri,Maléa, Naboun, Siguirini"</f>
        <v>Guinee,Kankan,Siguiri,Maléa, Naboun, Siguirini</v>
      </c>
    </row>
    <row r="116" spans="2:14" ht="40.5" x14ac:dyDescent="0.15">
      <c r="B116" s="295" t="str">
        <f>"22537"</f>
        <v>22537</v>
      </c>
      <c r="C116" s="295" t="str">
        <f>"AT2019//011/MMG/DNM"</f>
        <v>AT2019//011/MMG/DNM</v>
      </c>
      <c r="D116" s="296" t="s">
        <v>1753</v>
      </c>
      <c r="E116" s="295" t="s">
        <v>1754</v>
      </c>
      <c r="F116" s="295" t="s">
        <v>1755</v>
      </c>
      <c r="G116" s="295" t="s">
        <v>1565</v>
      </c>
      <c r="H116" s="295" t="s">
        <v>1565</v>
      </c>
      <c r="I116" s="297">
        <v>43453.47488425926</v>
      </c>
      <c r="J116" s="297">
        <v>43665</v>
      </c>
      <c r="K116" s="297">
        <v>43848</v>
      </c>
      <c r="L116" s="297">
        <v>43439</v>
      </c>
      <c r="M116" s="298" t="s">
        <v>1756</v>
      </c>
      <c r="N116" s="296" t="str">
        <f>"Guinee,Faranah,Dabola,Dabola-centre"</f>
        <v>Guinee,Faranah,Dabola,Dabola-centre</v>
      </c>
    </row>
    <row r="117" spans="2:14" ht="18.75" x14ac:dyDescent="0.15">
      <c r="B117" s="295" t="str">
        <f>"23193"</f>
        <v>23193</v>
      </c>
      <c r="C117" s="295" t="str">
        <f>"AT/2022/049/MMG/DNM"</f>
        <v>AT/2022/049/MMG/DNM</v>
      </c>
      <c r="D117" s="296" t="s">
        <v>1757</v>
      </c>
      <c r="E117" s="295" t="s">
        <v>85</v>
      </c>
      <c r="F117" s="295" t="s">
        <v>1758</v>
      </c>
      <c r="G117" s="295" t="s">
        <v>1565</v>
      </c>
      <c r="H117" s="295" t="s">
        <v>1565</v>
      </c>
      <c r="I117" s="297">
        <v>44438.641979166663</v>
      </c>
      <c r="J117" s="297">
        <v>44442</v>
      </c>
      <c r="K117" s="297">
        <v>45051</v>
      </c>
      <c r="L117" s="297">
        <v>44425</v>
      </c>
      <c r="M117" s="298" t="s">
        <v>1759</v>
      </c>
      <c r="N117" s="296" t="str">
        <f>"Guinee,Boke,Boke,Kanfarandé"</f>
        <v>Guinee,Boke,Boke,Kanfarandé</v>
      </c>
    </row>
    <row r="118" spans="2:14" ht="18.75" x14ac:dyDescent="0.15">
      <c r="B118" s="295" t="str">
        <f>"23194"</f>
        <v>23194</v>
      </c>
      <c r="C118" s="295" t="str">
        <f>"AT/2022/049/MMG/DNM"</f>
        <v>AT/2022/049/MMG/DNM</v>
      </c>
      <c r="D118" s="296" t="s">
        <v>1757</v>
      </c>
      <c r="E118" s="295" t="s">
        <v>85</v>
      </c>
      <c r="F118" s="295" t="s">
        <v>1758</v>
      </c>
      <c r="G118" s="295" t="s">
        <v>1565</v>
      </c>
      <c r="H118" s="295" t="s">
        <v>1565</v>
      </c>
      <c r="I118" s="297">
        <v>44438.665833333333</v>
      </c>
      <c r="J118" s="297">
        <v>44442</v>
      </c>
      <c r="K118" s="297">
        <v>44982</v>
      </c>
      <c r="L118" s="297">
        <v>44425</v>
      </c>
      <c r="M118" s="298" t="s">
        <v>1760</v>
      </c>
      <c r="N118" s="296" t="str">
        <f>"Guinee,Boke,Boke,Kanfarandé"</f>
        <v>Guinee,Boke,Boke,Kanfarandé</v>
      </c>
    </row>
    <row r="119" spans="2:14" ht="27" x14ac:dyDescent="0.15">
      <c r="B119" s="295" t="str">
        <f>"23259"</f>
        <v>23259</v>
      </c>
      <c r="C119" s="295" t="str">
        <f>"AT/2022/049/MMG/DNM"</f>
        <v>AT/2022/049/MMG/DNM</v>
      </c>
      <c r="D119" s="296" t="s">
        <v>1761</v>
      </c>
      <c r="E119" s="295" t="s">
        <v>85</v>
      </c>
      <c r="F119" s="295" t="s">
        <v>1762</v>
      </c>
      <c r="G119" s="295" t="s">
        <v>1565</v>
      </c>
      <c r="H119" s="295" t="s">
        <v>1565</v>
      </c>
      <c r="I119" s="297">
        <v>44516.465891203705</v>
      </c>
      <c r="J119" s="297">
        <v>44518</v>
      </c>
      <c r="K119" s="297">
        <v>44698</v>
      </c>
      <c r="L119" s="297">
        <v>44509</v>
      </c>
      <c r="M119" s="298" t="s">
        <v>1763</v>
      </c>
      <c r="N119" s="296" t="str">
        <f>"Guinee,Kindia,Forecariah,Kaback"</f>
        <v>Guinee,Kindia,Forecariah,Kaback</v>
      </c>
    </row>
    <row r="120" spans="2:14" ht="18.75" x14ac:dyDescent="0.15">
      <c r="B120" s="295" t="str">
        <f>"23220"</f>
        <v>23220</v>
      </c>
      <c r="C120" s="295" t="str">
        <f>"AT/2021/030/MMG/DNM"</f>
        <v>AT/2021/030/MMG/DNM</v>
      </c>
      <c r="D120" s="296" t="s">
        <v>1764</v>
      </c>
      <c r="E120" s="295" t="s">
        <v>85</v>
      </c>
      <c r="F120" s="295" t="s">
        <v>644</v>
      </c>
      <c r="G120" s="295" t="s">
        <v>1565</v>
      </c>
      <c r="H120" s="295" t="s">
        <v>1565</v>
      </c>
      <c r="I120" s="297">
        <v>44469.434629629628</v>
      </c>
      <c r="J120" s="297">
        <v>44469</v>
      </c>
      <c r="K120" s="297">
        <v>44649</v>
      </c>
      <c r="L120" s="297">
        <v>44463</v>
      </c>
      <c r="M120" s="298" t="s">
        <v>1765</v>
      </c>
      <c r="N120" s="296" t="str">
        <f>"Guinee,Kankan,Mandiana,Kantoumanina, Saladou"</f>
        <v>Guinee,Kankan,Mandiana,Kantoumanina, Saladou</v>
      </c>
    </row>
    <row r="121" spans="2:14" ht="27" x14ac:dyDescent="0.15">
      <c r="B121" s="295" t="str">
        <f>"23219"</f>
        <v>23219</v>
      </c>
      <c r="C121" s="295" t="str">
        <f>"AT/2021/028/MMG/DNM"</f>
        <v>AT/2021/028/MMG/DNM</v>
      </c>
      <c r="D121" s="296" t="s">
        <v>1766</v>
      </c>
      <c r="E121" s="295" t="s">
        <v>85</v>
      </c>
      <c r="F121" s="295" t="s">
        <v>644</v>
      </c>
      <c r="G121" s="295" t="s">
        <v>1565</v>
      </c>
      <c r="H121" s="295" t="s">
        <v>1565</v>
      </c>
      <c r="I121" s="297">
        <v>44468.699282407404</v>
      </c>
      <c r="J121" s="297">
        <v>44469</v>
      </c>
      <c r="K121" s="297">
        <v>44649</v>
      </c>
      <c r="L121" s="297">
        <v>44461</v>
      </c>
      <c r="M121" s="298" t="s">
        <v>1767</v>
      </c>
      <c r="N121" s="296" t="str">
        <f>"Guinee,Faranah,Dinguiraye,Dinguiraye-cent; Kankan,Kouroussa,Komola-khoura"</f>
        <v>Guinee,Faranah,Dinguiraye,Dinguiraye-cent; Kankan,Kouroussa,Komola-khoura</v>
      </c>
    </row>
    <row r="122" spans="2:14" ht="40.5" x14ac:dyDescent="0.15">
      <c r="B122" s="295" t="str">
        <f>"22744"</f>
        <v>22744</v>
      </c>
      <c r="C122" s="295" t="str">
        <f>"AT/2020/003/MMG/DNM"</f>
        <v>AT/2020/003/MMG/DNM</v>
      </c>
      <c r="D122" s="296" t="s">
        <v>1768</v>
      </c>
      <c r="E122" s="295" t="s">
        <v>1754</v>
      </c>
      <c r="F122" s="295" t="s">
        <v>1769</v>
      </c>
      <c r="G122" s="295" t="s">
        <v>1565</v>
      </c>
      <c r="H122" s="295" t="s">
        <v>1678</v>
      </c>
      <c r="I122" s="297">
        <v>43756.520011574074</v>
      </c>
      <c r="J122" s="297">
        <v>43725</v>
      </c>
      <c r="K122" s="297">
        <v>43906</v>
      </c>
      <c r="L122" s="297">
        <v>43704</v>
      </c>
      <c r="M122" s="298" t="s">
        <v>1770</v>
      </c>
      <c r="N122" s="296" t="str">
        <f>"Guinee,Kindia,Forecariah,Maférinya"</f>
        <v>Guinee,Kindia,Forecariah,Maférinya</v>
      </c>
    </row>
    <row r="123" spans="2:14" ht="40.5" x14ac:dyDescent="0.15">
      <c r="B123" s="295" t="str">
        <f>"22536"</f>
        <v>22536</v>
      </c>
      <c r="C123" s="295" t="str">
        <f>"AT/2019/010/MMG/DNM"</f>
        <v>AT/2019/010/MMG/DNM</v>
      </c>
      <c r="D123" s="296" t="s">
        <v>1753</v>
      </c>
      <c r="E123" s="295" t="s">
        <v>1754</v>
      </c>
      <c r="F123" s="295" t="s">
        <v>1769</v>
      </c>
      <c r="G123" s="295" t="s">
        <v>1565</v>
      </c>
      <c r="H123" s="295" t="s">
        <v>1565</v>
      </c>
      <c r="I123" s="297">
        <v>43453.459907407407</v>
      </c>
      <c r="J123" s="297">
        <v>43665</v>
      </c>
      <c r="K123" s="297">
        <v>43848</v>
      </c>
      <c r="L123" s="297">
        <v>43439</v>
      </c>
      <c r="M123" s="298" t="s">
        <v>1771</v>
      </c>
      <c r="N123" s="296" t="str">
        <f>"Guinee,Faranah,Dabola,Dabola-centre"</f>
        <v>Guinee,Faranah,Dabola,Dabola-centre</v>
      </c>
    </row>
    <row r="124" spans="2:14" x14ac:dyDescent="0.15">
      <c r="B124" s="295" t="str">
        <f>"22662"</f>
        <v>22662</v>
      </c>
      <c r="C124" s="295" t="str">
        <f>"AT/2019/009/MMG/DNM"</f>
        <v>AT/2019/009/MMG/DNM</v>
      </c>
      <c r="D124" s="296" t="s">
        <v>1772</v>
      </c>
      <c r="E124" s="295" t="s">
        <v>1773</v>
      </c>
      <c r="F124" s="295" t="s">
        <v>1769</v>
      </c>
      <c r="G124" s="295" t="s">
        <v>1565</v>
      </c>
      <c r="H124" s="295" t="s">
        <v>1565</v>
      </c>
      <c r="I124" s="297">
        <v>43627.43959490741</v>
      </c>
      <c r="J124" s="297">
        <v>43628</v>
      </c>
      <c r="K124" s="297">
        <v>43993</v>
      </c>
      <c r="L124" s="297">
        <v>43605</v>
      </c>
      <c r="M124" s="298" t="s">
        <v>1774</v>
      </c>
      <c r="N124" s="296" t="str">
        <f>"Guinee,Kindia,Dubreka,Khorira"</f>
        <v>Guinee,Kindia,Dubreka,Khorira</v>
      </c>
    </row>
    <row r="125" spans="2:14" ht="27" x14ac:dyDescent="0.15">
      <c r="B125" s="295" t="str">
        <f>"22320"</f>
        <v>22320</v>
      </c>
      <c r="C125" s="295" t="str">
        <f>"AT/2019/006/MMG/DNM"</f>
        <v>AT/2019/006/MMG/DNM</v>
      </c>
      <c r="D125" s="296" t="s">
        <v>1775</v>
      </c>
      <c r="E125" s="295" t="s">
        <v>1773</v>
      </c>
      <c r="F125" s="295" t="s">
        <v>1769</v>
      </c>
      <c r="G125" s="295" t="s">
        <v>1565</v>
      </c>
      <c r="H125" s="295" t="s">
        <v>1565</v>
      </c>
      <c r="I125" s="297">
        <v>43161.493634259263</v>
      </c>
      <c r="J125" s="297">
        <v>43594</v>
      </c>
      <c r="K125" s="297">
        <v>43959</v>
      </c>
      <c r="L125" s="297">
        <v>43003</v>
      </c>
      <c r="M125" s="298" t="s">
        <v>1776</v>
      </c>
      <c r="N125" s="296" t="str">
        <f>"Guinee,Kindia,Dubreka,Khorira"</f>
        <v>Guinee,Kindia,Dubreka,Khorira</v>
      </c>
    </row>
    <row r="126" spans="2:14" ht="18.75" x14ac:dyDescent="0.15">
      <c r="B126" s="295" t="str">
        <f>"20788"</f>
        <v>20788</v>
      </c>
      <c r="C126" s="295" t="str">
        <f>"Arrete/328"</f>
        <v>Arrete/328</v>
      </c>
      <c r="D126" s="296" t="s">
        <v>1777</v>
      </c>
      <c r="E126" s="295" t="s">
        <v>154</v>
      </c>
      <c r="F126" s="295" t="s">
        <v>644</v>
      </c>
      <c r="G126" s="295" t="s">
        <v>1565</v>
      </c>
      <c r="H126" s="295" t="s">
        <v>1565</v>
      </c>
      <c r="I126" s="297">
        <v>42485.381597222222</v>
      </c>
      <c r="J126" s="297">
        <v>42499</v>
      </c>
      <c r="K126" s="297">
        <v>44635</v>
      </c>
      <c r="L126" s="297">
        <v>42485</v>
      </c>
      <c r="M126" s="298" t="s">
        <v>1778</v>
      </c>
      <c r="N126" s="296" t="str">
        <f>"Guinee,Kankan,Kankan,Gbérédou-Barana; Kouroussa,Baro"</f>
        <v>Guinee,Kankan,Kankan,Gbérédou-Barana; Kouroussa,Baro</v>
      </c>
    </row>
    <row r="127" spans="2:14" ht="18.75" x14ac:dyDescent="0.15">
      <c r="B127" s="295" t="str">
        <f>"20790"</f>
        <v>20790</v>
      </c>
      <c r="C127" s="295" t="str">
        <f>"Arrete/221"</f>
        <v>Arrete/221</v>
      </c>
      <c r="D127" s="296" t="s">
        <v>1777</v>
      </c>
      <c r="E127" s="295" t="s">
        <v>154</v>
      </c>
      <c r="F127" s="295" t="s">
        <v>644</v>
      </c>
      <c r="G127" s="295" t="s">
        <v>1565</v>
      </c>
      <c r="H127" s="295" t="s">
        <v>1565</v>
      </c>
      <c r="I127" s="297">
        <v>42489.382291666669</v>
      </c>
      <c r="J127" s="297">
        <v>42499</v>
      </c>
      <c r="K127" s="297">
        <v>44622</v>
      </c>
      <c r="L127" s="297">
        <v>42485</v>
      </c>
      <c r="M127" s="298" t="s">
        <v>1779</v>
      </c>
      <c r="N127" s="296" t="str">
        <f>"Guinee,Kankan,Mandiana,Balandougouba, Koundianakoro"</f>
        <v>Guinee,Kankan,Mandiana,Balandougouba, Koundianakoro</v>
      </c>
    </row>
    <row r="128" spans="2:14" x14ac:dyDescent="0.15">
      <c r="B128" s="295" t="str">
        <f>"22688"</f>
        <v>22688</v>
      </c>
      <c r="C128" s="295" t="str">
        <f>"ARRETE A2019/5518/MMG"</f>
        <v>ARRETE A2019/5518/MMG</v>
      </c>
      <c r="D128" s="296" t="s">
        <v>1780</v>
      </c>
      <c r="E128" s="295" t="s">
        <v>78</v>
      </c>
      <c r="F128" s="295" t="s">
        <v>1781</v>
      </c>
      <c r="G128" s="295" t="s">
        <v>1565</v>
      </c>
      <c r="H128" s="295" t="s">
        <v>1565</v>
      </c>
      <c r="I128" s="297">
        <v>43663.67759259259</v>
      </c>
      <c r="J128" s="297">
        <v>43714</v>
      </c>
      <c r="K128" s="297">
        <v>44444</v>
      </c>
      <c r="L128" s="297">
        <v>43648</v>
      </c>
      <c r="M128" s="298" t="s">
        <v>1782</v>
      </c>
      <c r="N128" s="296" t="str">
        <f>"Guinee,Boke,Boffa,Tougnifily"</f>
        <v>Guinee,Boke,Boffa,Tougnifily</v>
      </c>
    </row>
    <row r="129" spans="2:14" ht="18.75" x14ac:dyDescent="0.15">
      <c r="B129" s="295" t="str">
        <f>"22287"</f>
        <v>22287</v>
      </c>
      <c r="C129" s="295" t="str">
        <f>"A2021/857/MMG/SGG"</f>
        <v>A2021/857/MMG/SGG</v>
      </c>
      <c r="D129" s="296" t="s">
        <v>1783</v>
      </c>
      <c r="E129" s="295" t="s">
        <v>154</v>
      </c>
      <c r="F129" s="295" t="s">
        <v>644</v>
      </c>
      <c r="G129" s="295" t="s">
        <v>1565</v>
      </c>
      <c r="H129" s="295" t="s">
        <v>1565</v>
      </c>
      <c r="I129" s="297">
        <v>43090.447453703702</v>
      </c>
      <c r="J129" s="297">
        <v>43108</v>
      </c>
      <c r="K129" s="297">
        <v>44680</v>
      </c>
      <c r="L129" s="297">
        <v>43080</v>
      </c>
      <c r="M129" s="298" t="s">
        <v>1784</v>
      </c>
      <c r="N129" s="296" t="str">
        <f>"Guinee,Kankan,Mandiana,Dialokoro"</f>
        <v>Guinee,Kankan,Mandiana,Dialokoro</v>
      </c>
    </row>
    <row r="130" spans="2:14" ht="18.75" x14ac:dyDescent="0.15">
      <c r="B130" s="295" t="str">
        <f>"22286"</f>
        <v>22286</v>
      </c>
      <c r="C130" s="295" t="str">
        <f>"A2021/856/MMG/SGG"</f>
        <v>A2021/856/MMG/SGG</v>
      </c>
      <c r="D130" s="296" t="s">
        <v>1783</v>
      </c>
      <c r="E130" s="295" t="s">
        <v>154</v>
      </c>
      <c r="F130" s="295" t="s">
        <v>644</v>
      </c>
      <c r="G130" s="295" t="s">
        <v>1565</v>
      </c>
      <c r="H130" s="295" t="s">
        <v>1565</v>
      </c>
      <c r="I130" s="297">
        <v>43090.424687500003</v>
      </c>
      <c r="J130" s="297">
        <v>43108</v>
      </c>
      <c r="K130" s="297">
        <v>44680</v>
      </c>
      <c r="L130" s="297">
        <v>43080</v>
      </c>
      <c r="M130" s="298" t="s">
        <v>1785</v>
      </c>
      <c r="N130" s="296" t="str">
        <f>"Guinee,Kankan,Siguiri,Norassoba"</f>
        <v>Guinee,Kankan,Siguiri,Norassoba</v>
      </c>
    </row>
    <row r="131" spans="2:14" ht="18.75" x14ac:dyDescent="0.15">
      <c r="B131" s="295" t="str">
        <f>"22336"</f>
        <v>22336</v>
      </c>
      <c r="C131" s="295" t="str">
        <f>"A2021/855/MMG/SGG"</f>
        <v>A2021/855/MMG/SGG</v>
      </c>
      <c r="D131" s="296" t="s">
        <v>1786</v>
      </c>
      <c r="E131" s="295" t="s">
        <v>154</v>
      </c>
      <c r="F131" s="295" t="s">
        <v>644</v>
      </c>
      <c r="G131" s="295" t="s">
        <v>1565</v>
      </c>
      <c r="H131" s="295" t="s">
        <v>1565</v>
      </c>
      <c r="I131" s="297">
        <v>43195.671597222223</v>
      </c>
      <c r="J131" s="297">
        <v>43235</v>
      </c>
      <c r="K131" s="297">
        <v>44680</v>
      </c>
      <c r="L131" s="297">
        <v>43178</v>
      </c>
      <c r="M131" s="298" t="s">
        <v>1787</v>
      </c>
      <c r="N131" s="296" t="str">
        <f>"Guinee,Kankan,Siguiri,Bankon, Doko"</f>
        <v>Guinee,Kankan,Siguiri,Bankon, Doko</v>
      </c>
    </row>
    <row r="132" spans="2:14" ht="27" x14ac:dyDescent="0.15">
      <c r="B132" s="295" t="str">
        <f>"22337"</f>
        <v>22337</v>
      </c>
      <c r="C132" s="295" t="str">
        <f>"A2021/854/MMG/SGG"</f>
        <v>A2021/854/MMG/SGG</v>
      </c>
      <c r="D132" s="296" t="s">
        <v>1788</v>
      </c>
      <c r="E132" s="295" t="s">
        <v>254</v>
      </c>
      <c r="F132" s="295" t="s">
        <v>1568</v>
      </c>
      <c r="G132" s="295" t="s">
        <v>1565</v>
      </c>
      <c r="H132" s="295" t="s">
        <v>1565</v>
      </c>
      <c r="I132" s="297">
        <v>43195.685787037037</v>
      </c>
      <c r="J132" s="297">
        <v>43258</v>
      </c>
      <c r="K132" s="297">
        <v>44680</v>
      </c>
      <c r="L132" s="297">
        <v>43178</v>
      </c>
      <c r="M132" s="298" t="s">
        <v>1789</v>
      </c>
      <c r="N132" s="296" t="str">
        <f>"Guinee,Labe,Tougue,Fatako, Kansangui, Kolangui, Ko'n; Mamou,Dalaba,Kankalabé"</f>
        <v>Guinee,Labe,Tougue,Fatako, Kansangui, Kolangui, Ko'n; Mamou,Dalaba,Kankalabé</v>
      </c>
    </row>
    <row r="133" spans="2:14" ht="18.75" x14ac:dyDescent="0.15">
      <c r="B133" s="295" t="str">
        <f>"23109"</f>
        <v>23109</v>
      </c>
      <c r="C133" s="295" t="str">
        <f>"A2021/852/MMG/SGG "</f>
        <v xml:space="preserve">A2021/852/MMG/SGG </v>
      </c>
      <c r="D133" s="296" t="s">
        <v>1790</v>
      </c>
      <c r="E133" s="295" t="s">
        <v>154</v>
      </c>
      <c r="F133" s="295" t="s">
        <v>644</v>
      </c>
      <c r="G133" s="295" t="s">
        <v>1565</v>
      </c>
      <c r="H133" s="295" t="s">
        <v>1565</v>
      </c>
      <c r="I133" s="297">
        <v>44307.478310185186</v>
      </c>
      <c r="J133" s="297">
        <v>44315</v>
      </c>
      <c r="K133" s="297">
        <v>45410</v>
      </c>
      <c r="L133" s="297">
        <v>44299</v>
      </c>
      <c r="M133" s="298" t="s">
        <v>1791</v>
      </c>
      <c r="N133" s="296" t="str">
        <f>"Guinee,Kankan,Mandiana,Kiniéran, Koundianakoro, Morodou"</f>
        <v>Guinee,Kankan,Mandiana,Kiniéran, Koundianakoro, Morodou</v>
      </c>
    </row>
    <row r="134" spans="2:14" ht="18.75" x14ac:dyDescent="0.15">
      <c r="B134" s="295" t="str">
        <f>"23113"</f>
        <v>23113</v>
      </c>
      <c r="C134" s="295" t="str">
        <f>"A2021/849/MMG/SGG"</f>
        <v>A2021/849/MMG/SGG</v>
      </c>
      <c r="D134" s="296" t="s">
        <v>1790</v>
      </c>
      <c r="E134" s="295" t="s">
        <v>154</v>
      </c>
      <c r="F134" s="295" t="s">
        <v>644</v>
      </c>
      <c r="G134" s="295" t="s">
        <v>1565</v>
      </c>
      <c r="H134" s="295" t="s">
        <v>1565</v>
      </c>
      <c r="I134" s="297">
        <v>44307.55059027778</v>
      </c>
      <c r="J134" s="297">
        <v>44315</v>
      </c>
      <c r="K134" s="297">
        <v>45410</v>
      </c>
      <c r="L134" s="297">
        <v>44309</v>
      </c>
      <c r="M134" s="298" t="s">
        <v>1792</v>
      </c>
      <c r="N134" s="296" t="str">
        <f>"Guinee,Kankan,Kouroussa,Doura; Siguiri,Norassoba"</f>
        <v>Guinee,Kankan,Kouroussa,Doura; Siguiri,Norassoba</v>
      </c>
    </row>
    <row r="135" spans="2:14" ht="18.75" x14ac:dyDescent="0.15">
      <c r="B135" s="295" t="str">
        <f>"23107"</f>
        <v>23107</v>
      </c>
      <c r="C135" s="295" t="str">
        <f>"A2021/848/MMG/SGG"</f>
        <v>A2021/848/MMG/SGG</v>
      </c>
      <c r="D135" s="296" t="s">
        <v>1793</v>
      </c>
      <c r="E135" s="295" t="s">
        <v>1794</v>
      </c>
      <c r="F135" s="295" t="s">
        <v>1594</v>
      </c>
      <c r="G135" s="295" t="s">
        <v>1565</v>
      </c>
      <c r="H135" s="295" t="s">
        <v>1565</v>
      </c>
      <c r="I135" s="297">
        <v>44306.649525462963</v>
      </c>
      <c r="J135" s="297">
        <v>44315</v>
      </c>
      <c r="K135" s="297">
        <v>45410</v>
      </c>
      <c r="L135" s="297">
        <v>44292</v>
      </c>
      <c r="M135" s="298" t="s">
        <v>1795</v>
      </c>
      <c r="N135" s="296" t="str">
        <f>"Guinee,Faranah,Faranah,Heremakono, Songoyah"</f>
        <v>Guinee,Faranah,Faranah,Heremakono, Songoyah</v>
      </c>
    </row>
    <row r="136" spans="2:14" ht="18.75" x14ac:dyDescent="0.15">
      <c r="B136" s="295" t="str">
        <f>"22967"</f>
        <v>22967</v>
      </c>
      <c r="C136" s="295" t="str">
        <f>"A2021/847/MMG/SGG"</f>
        <v>A2021/847/MMG/SGG</v>
      </c>
      <c r="D136" s="296" t="s">
        <v>1796</v>
      </c>
      <c r="E136" s="295" t="s">
        <v>1794</v>
      </c>
      <c r="F136" s="295" t="s">
        <v>1594</v>
      </c>
      <c r="G136" s="295" t="s">
        <v>1565</v>
      </c>
      <c r="H136" s="295" t="s">
        <v>1565</v>
      </c>
      <c r="I136" s="297">
        <v>44055.538634259261</v>
      </c>
      <c r="J136" s="297">
        <v>44315</v>
      </c>
      <c r="K136" s="297">
        <v>45410</v>
      </c>
      <c r="L136" s="297">
        <v>44036</v>
      </c>
      <c r="M136" s="298" t="s">
        <v>1797</v>
      </c>
      <c r="N136" s="296" t="str">
        <f>"Guinee,Kankan,Kerouane,Komodou, Linko"</f>
        <v>Guinee,Kankan,Kerouane,Komodou, Linko</v>
      </c>
    </row>
    <row r="137" spans="2:14" ht="27" x14ac:dyDescent="0.15">
      <c r="B137" s="295" t="str">
        <f>"23110"</f>
        <v>23110</v>
      </c>
      <c r="C137" s="295" t="str">
        <f>"A2021/846/MMG/SGG"</f>
        <v>A2021/846/MMG/SGG</v>
      </c>
      <c r="D137" s="296" t="s">
        <v>1798</v>
      </c>
      <c r="E137" s="295" t="s">
        <v>254</v>
      </c>
      <c r="F137" s="295" t="s">
        <v>1568</v>
      </c>
      <c r="G137" s="295" t="s">
        <v>1565</v>
      </c>
      <c r="H137" s="295" t="s">
        <v>1565</v>
      </c>
      <c r="I137" s="297">
        <v>44307.485659722224</v>
      </c>
      <c r="J137" s="297">
        <v>44315</v>
      </c>
      <c r="K137" s="297">
        <v>45410</v>
      </c>
      <c r="L137" s="297">
        <v>44280</v>
      </c>
      <c r="M137" s="298" t="s">
        <v>1799</v>
      </c>
      <c r="N137" s="296" t="str">
        <f>"Guinee,Kindia,Dubreka,Faléssadé, Tondon; Kindia,Bangouya, Samaya"</f>
        <v>Guinee,Kindia,Dubreka,Faléssadé, Tondon; Kindia,Bangouya, Samaya</v>
      </c>
    </row>
    <row r="138" spans="2:14" ht="27" x14ac:dyDescent="0.15">
      <c r="B138" s="295" t="str">
        <f>"20127"</f>
        <v>20127</v>
      </c>
      <c r="C138" s="295" t="str">
        <f>"A2021/775/MMG/SGG"</f>
        <v>A2021/775/MMG/SGG</v>
      </c>
      <c r="D138" s="296" t="s">
        <v>1644</v>
      </c>
      <c r="E138" s="295" t="s">
        <v>154</v>
      </c>
      <c r="F138" s="295" t="s">
        <v>644</v>
      </c>
      <c r="G138" s="295" t="s">
        <v>1565</v>
      </c>
      <c r="H138" s="295" t="s">
        <v>1678</v>
      </c>
      <c r="I138" s="297">
        <v>43395.528738425928</v>
      </c>
      <c r="J138" s="297">
        <v>42349</v>
      </c>
      <c r="K138" s="297">
        <v>44674</v>
      </c>
      <c r="L138" s="297">
        <v>42233</v>
      </c>
      <c r="M138" s="298" t="s">
        <v>1800</v>
      </c>
      <c r="N138" s="296" t="str">
        <f>"Guinee,Kankan,Mandiana,Faralako, Mandiana-centre, Morodou"</f>
        <v>Guinee,Kankan,Mandiana,Faralako, Mandiana-centre, Morodou</v>
      </c>
    </row>
    <row r="139" spans="2:14" ht="27" x14ac:dyDescent="0.15">
      <c r="B139" s="295" t="str">
        <f>"20126"</f>
        <v>20126</v>
      </c>
      <c r="C139" s="295" t="str">
        <f>"A2021/774/MMG/SGG"</f>
        <v>A2021/774/MMG/SGG</v>
      </c>
      <c r="D139" s="296" t="s">
        <v>1644</v>
      </c>
      <c r="E139" s="295" t="s">
        <v>154</v>
      </c>
      <c r="F139" s="295" t="s">
        <v>644</v>
      </c>
      <c r="G139" s="295" t="s">
        <v>1565</v>
      </c>
      <c r="H139" s="295" t="s">
        <v>1678</v>
      </c>
      <c r="I139" s="297">
        <v>44257.470925925925</v>
      </c>
      <c r="J139" s="297">
        <v>42349</v>
      </c>
      <c r="K139" s="297">
        <v>44674</v>
      </c>
      <c r="L139" s="297">
        <v>42233</v>
      </c>
      <c r="M139" s="298" t="s">
        <v>1801</v>
      </c>
      <c r="N139" s="296" t="str">
        <f>"Guinee,Kankan,Mandiana,Faralako, Morodou"</f>
        <v>Guinee,Kankan,Mandiana,Faralako, Morodou</v>
      </c>
    </row>
    <row r="140" spans="2:14" x14ac:dyDescent="0.15">
      <c r="B140" s="295" t="str">
        <f>"23097"</f>
        <v>23097</v>
      </c>
      <c r="C140" s="295" t="str">
        <f>"A2021/773/MMG/SGG"</f>
        <v>A2021/773/MMG/SGG</v>
      </c>
      <c r="D140" s="296" t="s">
        <v>1802</v>
      </c>
      <c r="E140" s="295" t="s">
        <v>78</v>
      </c>
      <c r="F140" s="295" t="s">
        <v>1769</v>
      </c>
      <c r="G140" s="295" t="s">
        <v>1565</v>
      </c>
      <c r="H140" s="295" t="s">
        <v>1565</v>
      </c>
      <c r="I140" s="297">
        <v>44293.539976851855</v>
      </c>
      <c r="J140" s="297">
        <v>44309</v>
      </c>
      <c r="K140" s="297">
        <v>45038</v>
      </c>
      <c r="L140" s="297">
        <v>44287</v>
      </c>
      <c r="M140" s="298" t="s">
        <v>1803</v>
      </c>
      <c r="N140" s="296" t="str">
        <f>"Guinee,Kankan,Kouroussa,Baro"</f>
        <v>Guinee,Kankan,Kouroussa,Baro</v>
      </c>
    </row>
    <row r="141" spans="2:14" x14ac:dyDescent="0.15">
      <c r="B141" s="295" t="str">
        <f>"23096"</f>
        <v>23096</v>
      </c>
      <c r="C141" s="295" t="str">
        <f>"A2021/772/MMG/SGG"</f>
        <v>A2021/772/MMG/SGG</v>
      </c>
      <c r="D141" s="296" t="s">
        <v>1804</v>
      </c>
      <c r="E141" s="295" t="s">
        <v>78</v>
      </c>
      <c r="F141" s="295" t="s">
        <v>1755</v>
      </c>
      <c r="G141" s="295" t="s">
        <v>1565</v>
      </c>
      <c r="H141" s="295" t="s">
        <v>1565</v>
      </c>
      <c r="I141" s="297">
        <v>44292.515902777777</v>
      </c>
      <c r="J141" s="297">
        <v>44309</v>
      </c>
      <c r="K141" s="297">
        <v>45038</v>
      </c>
      <c r="L141" s="297">
        <v>44278</v>
      </c>
      <c r="M141" s="298" t="s">
        <v>1805</v>
      </c>
      <c r="N141" s="296" t="str">
        <f>"Guinee,Kindia,Forecariah,Maférinya"</f>
        <v>Guinee,Kindia,Forecariah,Maférinya</v>
      </c>
    </row>
    <row r="142" spans="2:14" ht="27" x14ac:dyDescent="0.15">
      <c r="B142" s="295" t="str">
        <f>"23095"</f>
        <v>23095</v>
      </c>
      <c r="C142" s="295" t="str">
        <f>"A2021/771/MMG/SGG"</f>
        <v>A2021/771/MMG/SGG</v>
      </c>
      <c r="D142" s="296" t="s">
        <v>1806</v>
      </c>
      <c r="E142" s="295" t="s">
        <v>154</v>
      </c>
      <c r="F142" s="295" t="s">
        <v>644</v>
      </c>
      <c r="G142" s="295" t="s">
        <v>1565</v>
      </c>
      <c r="H142" s="295" t="s">
        <v>1565</v>
      </c>
      <c r="I142" s="297">
        <v>44288.676041666666</v>
      </c>
      <c r="J142" s="297">
        <v>44309</v>
      </c>
      <c r="K142" s="297">
        <v>45404</v>
      </c>
      <c r="L142" s="297">
        <v>44199</v>
      </c>
      <c r="M142" s="298" t="s">
        <v>1807</v>
      </c>
      <c r="N142" s="296" t="str">
        <f>"Guinee,Kankan,Kankan,Missamana; Mandiana,Kantoumanina"</f>
        <v>Guinee,Kankan,Kankan,Missamana; Mandiana,Kantoumanina</v>
      </c>
    </row>
    <row r="143" spans="2:14" ht="27" x14ac:dyDescent="0.15">
      <c r="B143" s="295" t="str">
        <f>"23101"</f>
        <v>23101</v>
      </c>
      <c r="C143" s="295" t="str">
        <f>"A2021/770/MMG/SGG"</f>
        <v>A2021/770/MMG/SGG</v>
      </c>
      <c r="D143" s="296" t="s">
        <v>1808</v>
      </c>
      <c r="E143" s="295" t="s">
        <v>154</v>
      </c>
      <c r="F143" s="295" t="s">
        <v>644</v>
      </c>
      <c r="G143" s="295" t="s">
        <v>1565</v>
      </c>
      <c r="H143" s="295" t="s">
        <v>1565</v>
      </c>
      <c r="I143" s="297">
        <v>44294.468171296299</v>
      </c>
      <c r="J143" s="297">
        <v>44309</v>
      </c>
      <c r="K143" s="297">
        <v>45404</v>
      </c>
      <c r="L143" s="297">
        <v>44266</v>
      </c>
      <c r="M143" s="298" t="s">
        <v>1809</v>
      </c>
      <c r="N143" s="296" t="str">
        <f>"Guinee,Kankan,Mandiana,Niantanina"</f>
        <v>Guinee,Kankan,Mandiana,Niantanina</v>
      </c>
    </row>
    <row r="144" spans="2:14" ht="18.75" x14ac:dyDescent="0.15">
      <c r="B144" s="295" t="str">
        <f>"23087"</f>
        <v>23087</v>
      </c>
      <c r="C144" s="295" t="str">
        <f>"A2021/769/MMG/SGG"</f>
        <v>A2021/769/MMG/SGG</v>
      </c>
      <c r="D144" s="296" t="s">
        <v>1810</v>
      </c>
      <c r="E144" s="295" t="s">
        <v>254</v>
      </c>
      <c r="F144" s="295" t="s">
        <v>1568</v>
      </c>
      <c r="G144" s="295" t="s">
        <v>1565</v>
      </c>
      <c r="H144" s="295" t="s">
        <v>1565</v>
      </c>
      <c r="I144" s="297">
        <v>44279.513842592591</v>
      </c>
      <c r="J144" s="297">
        <v>44309</v>
      </c>
      <c r="K144" s="297">
        <v>45404</v>
      </c>
      <c r="L144" s="297">
        <v>43850</v>
      </c>
      <c r="M144" s="298" t="s">
        <v>1811</v>
      </c>
      <c r="N144" s="296" t="str">
        <f>"Guinee,Kindia,Kindia,Madina-Oula"</f>
        <v>Guinee,Kindia,Kindia,Madina-Oula</v>
      </c>
    </row>
    <row r="145" spans="2:14" ht="27" x14ac:dyDescent="0.15">
      <c r="B145" s="295" t="str">
        <f>"23103"</f>
        <v>23103</v>
      </c>
      <c r="C145" s="295" t="str">
        <f>"A2021/768/MMG/SSG"</f>
        <v>A2021/768/MMG/SSG</v>
      </c>
      <c r="D145" s="296" t="s">
        <v>1812</v>
      </c>
      <c r="E145" s="295" t="s">
        <v>1813</v>
      </c>
      <c r="F145" s="295" t="s">
        <v>1814</v>
      </c>
      <c r="G145" s="295" t="s">
        <v>1565</v>
      </c>
      <c r="H145" s="295" t="s">
        <v>1565</v>
      </c>
      <c r="I145" s="297">
        <v>44295.512604166666</v>
      </c>
      <c r="J145" s="297">
        <v>44309</v>
      </c>
      <c r="K145" s="297">
        <v>45404</v>
      </c>
      <c r="L145" s="297">
        <v>44279</v>
      </c>
      <c r="M145" s="298" t="s">
        <v>1815</v>
      </c>
      <c r="N145" s="296" t="str">
        <f>"Guinee,Labe,Mali,Lébékéren, Mali-centre"</f>
        <v>Guinee,Labe,Mali,Lébékéren, Mali-centre</v>
      </c>
    </row>
    <row r="146" spans="2:14" ht="27" x14ac:dyDescent="0.15">
      <c r="B146" s="295" t="str">
        <f>"23093"</f>
        <v>23093</v>
      </c>
      <c r="C146" s="295" t="str">
        <f>"A2021/767/MMG/SGG"</f>
        <v>A2021/767/MMG/SGG</v>
      </c>
      <c r="D146" s="296" t="s">
        <v>1816</v>
      </c>
      <c r="E146" s="295" t="s">
        <v>154</v>
      </c>
      <c r="F146" s="295" t="s">
        <v>644</v>
      </c>
      <c r="G146" s="295" t="s">
        <v>1565</v>
      </c>
      <c r="H146" s="295" t="s">
        <v>1565</v>
      </c>
      <c r="I146" s="297">
        <v>44288.639699074076</v>
      </c>
      <c r="J146" s="297">
        <v>44309</v>
      </c>
      <c r="K146" s="297">
        <v>45404</v>
      </c>
      <c r="L146" s="297">
        <v>44271</v>
      </c>
      <c r="M146" s="298" t="s">
        <v>1817</v>
      </c>
      <c r="N146" s="296" t="str">
        <f>"Guinee,Kankan,Siguiri,Franwalia, Naboun"</f>
        <v>Guinee,Kankan,Siguiri,Franwalia, Naboun</v>
      </c>
    </row>
    <row r="147" spans="2:14" ht="27" x14ac:dyDescent="0.15">
      <c r="B147" s="295" t="str">
        <f>"23094"</f>
        <v>23094</v>
      </c>
      <c r="C147" s="295" t="str">
        <f>"A2021/766/MMG/SGG"</f>
        <v>A2021/766/MMG/SGG</v>
      </c>
      <c r="D147" s="296" t="s">
        <v>1816</v>
      </c>
      <c r="E147" s="295" t="s">
        <v>154</v>
      </c>
      <c r="F147" s="295" t="s">
        <v>644</v>
      </c>
      <c r="G147" s="295" t="s">
        <v>1565</v>
      </c>
      <c r="H147" s="295" t="s">
        <v>1565</v>
      </c>
      <c r="I147" s="297">
        <v>44288.66542824074</v>
      </c>
      <c r="J147" s="297">
        <v>44309</v>
      </c>
      <c r="K147" s="297">
        <v>45404</v>
      </c>
      <c r="L147" s="297">
        <v>44266</v>
      </c>
      <c r="M147" s="298" t="s">
        <v>1818</v>
      </c>
      <c r="N147" s="296" t="str">
        <f>"Guinee,Kankan,Siguiri,Franwalia, Naboun, Niagassola"</f>
        <v>Guinee,Kankan,Siguiri,Franwalia, Naboun, Niagassola</v>
      </c>
    </row>
    <row r="148" spans="2:14" ht="40.5" x14ac:dyDescent="0.15">
      <c r="B148" s="295" t="str">
        <f>"23102"</f>
        <v>23102</v>
      </c>
      <c r="C148" s="295" t="str">
        <f>"A2021/765/MMG/SGG"</f>
        <v>A2021/765/MMG/SGG</v>
      </c>
      <c r="D148" s="296" t="s">
        <v>1819</v>
      </c>
      <c r="E148" s="295" t="s">
        <v>1820</v>
      </c>
      <c r="F148" s="295" t="s">
        <v>640</v>
      </c>
      <c r="G148" s="295" t="s">
        <v>1565</v>
      </c>
      <c r="H148" s="295" t="s">
        <v>1565</v>
      </c>
      <c r="I148" s="297">
        <v>44294.562835648147</v>
      </c>
      <c r="J148" s="297">
        <v>44309</v>
      </c>
      <c r="K148" s="297">
        <v>45404</v>
      </c>
      <c r="L148" s="297">
        <v>44278</v>
      </c>
      <c r="M148" s="298" t="s">
        <v>1821</v>
      </c>
      <c r="N148" s="296" t="str">
        <f>"Guinee,Faranah,Kissidougo,Kondiadou; Kankan,Kerouane,Sibiribaro, Soromaya; N'Zerekore,Macenta,Binikala"</f>
        <v>Guinee,Faranah,Kissidougo,Kondiadou; Kankan,Kerouane,Sibiribaro, Soromaya; N'Zerekore,Macenta,Binikala</v>
      </c>
    </row>
    <row r="149" spans="2:14" ht="40.5" x14ac:dyDescent="0.15">
      <c r="B149" s="295" t="str">
        <f>"23090"</f>
        <v>23090</v>
      </c>
      <c r="C149" s="295" t="str">
        <f>"A2021/764/MMG/SGG"</f>
        <v>A2021/764/MMG/SGG</v>
      </c>
      <c r="D149" s="296" t="s">
        <v>1822</v>
      </c>
      <c r="E149" s="295" t="s">
        <v>154</v>
      </c>
      <c r="F149" s="295" t="s">
        <v>644</v>
      </c>
      <c r="G149" s="295" t="s">
        <v>1565</v>
      </c>
      <c r="H149" s="295" t="s">
        <v>1565</v>
      </c>
      <c r="I149" s="297">
        <v>44287.507673611108</v>
      </c>
      <c r="J149" s="297">
        <v>44309</v>
      </c>
      <c r="K149" s="297">
        <v>45404</v>
      </c>
      <c r="L149" s="297">
        <v>44267</v>
      </c>
      <c r="M149" s="298" t="s">
        <v>1823</v>
      </c>
      <c r="N149" s="296" t="str">
        <f>"Guinee,Kankan,Kouroussa,Komola-khoura"</f>
        <v>Guinee,Kankan,Kouroussa,Komola-khoura</v>
      </c>
    </row>
    <row r="150" spans="2:14" ht="40.5" x14ac:dyDescent="0.15">
      <c r="B150" s="295" t="str">
        <f>"23091"</f>
        <v>23091</v>
      </c>
      <c r="C150" s="295" t="str">
        <f>"A2021/763/MMG/SGG"</f>
        <v>A2021/763/MMG/SGG</v>
      </c>
      <c r="D150" s="296" t="s">
        <v>1822</v>
      </c>
      <c r="E150" s="295" t="s">
        <v>154</v>
      </c>
      <c r="F150" s="295" t="s">
        <v>644</v>
      </c>
      <c r="G150" s="295" t="s">
        <v>1565</v>
      </c>
      <c r="H150" s="295" t="s">
        <v>1565</v>
      </c>
      <c r="I150" s="297">
        <v>44287.531423611108</v>
      </c>
      <c r="J150" s="297">
        <v>44309</v>
      </c>
      <c r="K150" s="297">
        <v>45404</v>
      </c>
      <c r="L150" s="297">
        <v>44267</v>
      </c>
      <c r="M150" s="298" t="s">
        <v>1824</v>
      </c>
      <c r="N150" s="296" t="str">
        <f>"Guinee,Kankan,Mandiana,Faralako, Morodou, Niantanina"</f>
        <v>Guinee,Kankan,Mandiana,Faralako, Morodou, Niantanina</v>
      </c>
    </row>
    <row r="151" spans="2:14" ht="27" x14ac:dyDescent="0.15">
      <c r="B151" s="295" t="str">
        <f>"22307"</f>
        <v>22307</v>
      </c>
      <c r="C151" s="295" t="str">
        <f>"A2021/721/MMG/SGG"</f>
        <v>A2021/721/MMG/SGG</v>
      </c>
      <c r="D151" s="296" t="s">
        <v>1825</v>
      </c>
      <c r="E151" s="295" t="s">
        <v>1820</v>
      </c>
      <c r="F151" s="295" t="s">
        <v>640</v>
      </c>
      <c r="G151" s="295" t="s">
        <v>1565</v>
      </c>
      <c r="H151" s="295" t="s">
        <v>1565</v>
      </c>
      <c r="I151" s="297">
        <v>43154.535601851851</v>
      </c>
      <c r="J151" s="297">
        <v>43182</v>
      </c>
      <c r="K151" s="297">
        <v>45036</v>
      </c>
      <c r="L151" s="297">
        <v>43111</v>
      </c>
      <c r="M151" s="298" t="s">
        <v>1826</v>
      </c>
      <c r="N151" s="296" t="str">
        <f>"Guinee,Faranah,Kissidougo,Banama, Kondiadou; Kankan,Kerouane,Soromaya"</f>
        <v>Guinee,Faranah,Kissidougo,Banama, Kondiadou; Kankan,Kerouane,Soromaya</v>
      </c>
    </row>
    <row r="152" spans="2:14" ht="18.75" x14ac:dyDescent="0.15">
      <c r="B152" s="295" t="str">
        <f>"22292"</f>
        <v>22292</v>
      </c>
      <c r="C152" s="295" t="str">
        <f>"A2021/720/MMG/SGG"</f>
        <v>A2021/720/MMG/SGG</v>
      </c>
      <c r="D152" s="296" t="s">
        <v>1827</v>
      </c>
      <c r="E152" s="295" t="s">
        <v>154</v>
      </c>
      <c r="F152" s="295" t="s">
        <v>644</v>
      </c>
      <c r="G152" s="295" t="s">
        <v>1565</v>
      </c>
      <c r="H152" s="295" t="s">
        <v>1565</v>
      </c>
      <c r="I152" s="297">
        <v>43104.63113425926</v>
      </c>
      <c r="J152" s="297">
        <v>43123</v>
      </c>
      <c r="K152" s="297">
        <v>45046</v>
      </c>
      <c r="L152" s="297">
        <v>43103</v>
      </c>
      <c r="M152" s="298" t="s">
        <v>1828</v>
      </c>
      <c r="N152" s="296" t="str">
        <f>"Guinee,Kankan,Siguiri,Norassoba"</f>
        <v>Guinee,Kankan,Siguiri,Norassoba</v>
      </c>
    </row>
    <row r="153" spans="2:14" ht="18.75" x14ac:dyDescent="0.15">
      <c r="B153" s="295" t="str">
        <f>"22310"</f>
        <v>22310</v>
      </c>
      <c r="C153" s="295" t="str">
        <f>"A2021/719/MMG/SGG"</f>
        <v>A2021/719/MMG/SGG</v>
      </c>
      <c r="D153" s="296" t="s">
        <v>1829</v>
      </c>
      <c r="E153" s="295" t="s">
        <v>154</v>
      </c>
      <c r="F153" s="295" t="s">
        <v>644</v>
      </c>
      <c r="G153" s="295" t="s">
        <v>1565</v>
      </c>
      <c r="H153" s="295" t="s">
        <v>1565</v>
      </c>
      <c r="I153" s="297">
        <v>43160.518240740741</v>
      </c>
      <c r="J153" s="297">
        <v>43213</v>
      </c>
      <c r="K153" s="297">
        <v>45036</v>
      </c>
      <c r="L153" s="297">
        <v>43088</v>
      </c>
      <c r="M153" s="298" t="s">
        <v>1830</v>
      </c>
      <c r="N153" s="296" t="str">
        <f>"Guinee,Kankan,Mandiana,Kantoumanina"</f>
        <v>Guinee,Kankan,Mandiana,Kantoumanina</v>
      </c>
    </row>
    <row r="154" spans="2:14" ht="27" x14ac:dyDescent="0.15">
      <c r="B154" s="295" t="str">
        <f>"22480"</f>
        <v>22480</v>
      </c>
      <c r="C154" s="295" t="str">
        <f>"A2021/717/MMG"</f>
        <v>A2021/717/MMG</v>
      </c>
      <c r="D154" s="296" t="s">
        <v>1831</v>
      </c>
      <c r="E154" s="295" t="s">
        <v>78</v>
      </c>
      <c r="F154" s="295" t="s">
        <v>1769</v>
      </c>
      <c r="G154" s="295" t="s">
        <v>1565</v>
      </c>
      <c r="H154" s="295" t="s">
        <v>1565</v>
      </c>
      <c r="I154" s="297">
        <v>43390.494143518517</v>
      </c>
      <c r="J154" s="297">
        <v>43420</v>
      </c>
      <c r="K154" s="297">
        <v>45036</v>
      </c>
      <c r="L154" s="297">
        <v>43307</v>
      </c>
      <c r="M154" s="298" t="s">
        <v>1832</v>
      </c>
      <c r="N154" s="296" t="str">
        <f>"Guinee,Kindia,Dubreka,Khorira"</f>
        <v>Guinee,Kindia,Dubreka,Khorira</v>
      </c>
    </row>
    <row r="155" spans="2:14" ht="27" x14ac:dyDescent="0.15">
      <c r="B155" s="295" t="str">
        <f>"22223"</f>
        <v>22223</v>
      </c>
      <c r="C155" s="295" t="str">
        <f>"A2021/716/MMG/SGG"</f>
        <v>A2021/716/MMG/SGG</v>
      </c>
      <c r="D155" s="296" t="s">
        <v>1833</v>
      </c>
      <c r="E155" s="295" t="s">
        <v>154</v>
      </c>
      <c r="F155" s="295" t="s">
        <v>644</v>
      </c>
      <c r="G155" s="295" t="s">
        <v>1565</v>
      </c>
      <c r="H155" s="295" t="s">
        <v>1565</v>
      </c>
      <c r="I155" s="297">
        <v>42999.716805555552</v>
      </c>
      <c r="J155" s="297">
        <v>42999</v>
      </c>
      <c r="K155" s="297">
        <v>44671</v>
      </c>
      <c r="L155" s="297">
        <v>42999</v>
      </c>
      <c r="M155" s="298" t="s">
        <v>1834</v>
      </c>
      <c r="N155" s="296" t="str">
        <f>"Guinee,Kankan,Kerouane,Konsankoro; N'Zerekore,Beyla,Nionsomoridou"</f>
        <v>Guinee,Kankan,Kerouane,Konsankoro; N'Zerekore,Beyla,Nionsomoridou</v>
      </c>
    </row>
    <row r="156" spans="2:14" x14ac:dyDescent="0.15">
      <c r="B156" s="295" t="str">
        <f>"23089"</f>
        <v>23089</v>
      </c>
      <c r="C156" s="295" t="str">
        <f>"A2021/715/MMG/SGG"</f>
        <v>A2021/715/MMG/SGG</v>
      </c>
      <c r="D156" s="296" t="s">
        <v>1835</v>
      </c>
      <c r="E156" s="295" t="s">
        <v>78</v>
      </c>
      <c r="F156" s="295" t="s">
        <v>1769</v>
      </c>
      <c r="G156" s="295" t="s">
        <v>1565</v>
      </c>
      <c r="H156" s="295" t="s">
        <v>1565</v>
      </c>
      <c r="I156" s="297">
        <v>44286.642013888886</v>
      </c>
      <c r="J156" s="297">
        <v>44306</v>
      </c>
      <c r="K156" s="297">
        <v>45035</v>
      </c>
      <c r="L156" s="297">
        <v>44246</v>
      </c>
      <c r="M156" s="298" t="s">
        <v>1836</v>
      </c>
      <c r="N156" s="296" t="str">
        <f>"Guinee,Kindia,Forecariah,Moussayah"</f>
        <v>Guinee,Kindia,Forecariah,Moussayah</v>
      </c>
    </row>
    <row r="157" spans="2:14" ht="27" x14ac:dyDescent="0.15">
      <c r="B157" s="295" t="str">
        <f>"22235"</f>
        <v>22235</v>
      </c>
      <c r="C157" s="295" t="str">
        <f>"A2021/608/MMG/SGG"</f>
        <v>A2021/608/MMG/SGG</v>
      </c>
      <c r="D157" s="296" t="s">
        <v>1837</v>
      </c>
      <c r="E157" s="295" t="s">
        <v>154</v>
      </c>
      <c r="F157" s="295" t="s">
        <v>644</v>
      </c>
      <c r="G157" s="295" t="s">
        <v>1565</v>
      </c>
      <c r="H157" s="295" t="s">
        <v>1565</v>
      </c>
      <c r="I157" s="297">
        <v>43025.53570601852</v>
      </c>
      <c r="J157" s="297">
        <v>43042</v>
      </c>
      <c r="K157" s="297">
        <v>44659</v>
      </c>
      <c r="L157" s="297">
        <v>42981</v>
      </c>
      <c r="M157" s="298" t="s">
        <v>1838</v>
      </c>
      <c r="N157" s="296" t="str">
        <f>"Guinee,Kankan,Mandiana,Faralako"</f>
        <v>Guinee,Kankan,Mandiana,Faralako</v>
      </c>
    </row>
    <row r="158" spans="2:14" x14ac:dyDescent="0.15">
      <c r="B158" s="295" t="str">
        <f>"23083"</f>
        <v>23083</v>
      </c>
      <c r="C158" s="295" t="str">
        <f>"A2021/607/MMG/SGG"</f>
        <v>A2021/607/MMG/SGG</v>
      </c>
      <c r="D158" s="296" t="s">
        <v>1839</v>
      </c>
      <c r="E158" s="295" t="s">
        <v>78</v>
      </c>
      <c r="F158" s="295" t="s">
        <v>1781</v>
      </c>
      <c r="G158" s="295" t="s">
        <v>1565</v>
      </c>
      <c r="H158" s="295" t="s">
        <v>1565</v>
      </c>
      <c r="I158" s="297">
        <v>44277.557881944442</v>
      </c>
      <c r="J158" s="297">
        <v>44294</v>
      </c>
      <c r="K158" s="297">
        <v>45023</v>
      </c>
      <c r="L158" s="297">
        <v>44251</v>
      </c>
      <c r="M158" s="298" t="s">
        <v>1840</v>
      </c>
      <c r="N158" s="296" t="str">
        <f>"Guinee,Labe,Lelouma,Lafou"</f>
        <v>Guinee,Labe,Lelouma,Lafou</v>
      </c>
    </row>
    <row r="159" spans="2:14" ht="18.75" x14ac:dyDescent="0.15">
      <c r="B159" s="295" t="str">
        <f>"23077"</f>
        <v>23077</v>
      </c>
      <c r="C159" s="295" t="str">
        <f>"A2021/605/MMG/SGG"</f>
        <v>A2021/605/MMG/SGG</v>
      </c>
      <c r="D159" s="296" t="s">
        <v>1841</v>
      </c>
      <c r="E159" s="295" t="s">
        <v>154</v>
      </c>
      <c r="F159" s="295" t="s">
        <v>644</v>
      </c>
      <c r="G159" s="295" t="s">
        <v>1565</v>
      </c>
      <c r="H159" s="295" t="s">
        <v>1565</v>
      </c>
      <c r="I159" s="297">
        <v>44265.653368055559</v>
      </c>
      <c r="J159" s="297">
        <v>44294</v>
      </c>
      <c r="K159" s="297">
        <v>45389</v>
      </c>
      <c r="L159" s="297">
        <v>44236</v>
      </c>
      <c r="M159" s="298" t="s">
        <v>1842</v>
      </c>
      <c r="N159" s="296" t="str">
        <f>"Guinee,Kankan,Siguiri,Maléa"</f>
        <v>Guinee,Kankan,Siguiri,Maléa</v>
      </c>
    </row>
    <row r="160" spans="2:14" ht="18.75" x14ac:dyDescent="0.15">
      <c r="B160" s="295" t="str">
        <f>"23079"</f>
        <v>23079</v>
      </c>
      <c r="C160" s="295" t="str">
        <f>"A2021/604/MMG/SGG"</f>
        <v>A2021/604/MMG/SGG</v>
      </c>
      <c r="D160" s="296" t="s">
        <v>1843</v>
      </c>
      <c r="E160" s="295" t="s">
        <v>154</v>
      </c>
      <c r="F160" s="295" t="s">
        <v>644</v>
      </c>
      <c r="G160" s="295" t="s">
        <v>1565</v>
      </c>
      <c r="H160" s="295" t="s">
        <v>1565</v>
      </c>
      <c r="I160" s="297">
        <v>44267.638252314813</v>
      </c>
      <c r="J160" s="297">
        <v>44294</v>
      </c>
      <c r="K160" s="297">
        <v>45389</v>
      </c>
      <c r="L160" s="297">
        <v>44195</v>
      </c>
      <c r="M160" s="298" t="s">
        <v>1844</v>
      </c>
      <c r="N160" s="296" t="str">
        <f>"Guinee,Kankan,Kouroussa,Komola-khoura, Sanguiana"</f>
        <v>Guinee,Kankan,Kouroussa,Komola-khoura, Sanguiana</v>
      </c>
    </row>
    <row r="161" spans="2:14" ht="18.75" x14ac:dyDescent="0.15">
      <c r="B161" s="295" t="str">
        <f>"23078"</f>
        <v>23078</v>
      </c>
      <c r="C161" s="295" t="str">
        <f>"A2021/573/MMG/SGG"</f>
        <v>A2021/573/MMG/SGG</v>
      </c>
      <c r="D161" s="296" t="s">
        <v>1845</v>
      </c>
      <c r="E161" s="295" t="s">
        <v>154</v>
      </c>
      <c r="F161" s="295" t="s">
        <v>644</v>
      </c>
      <c r="G161" s="295" t="s">
        <v>1565</v>
      </c>
      <c r="H161" s="295" t="s">
        <v>1565</v>
      </c>
      <c r="I161" s="297">
        <v>44266.687395833331</v>
      </c>
      <c r="J161" s="297">
        <v>44288</v>
      </c>
      <c r="K161" s="297">
        <v>45383</v>
      </c>
      <c r="L161" s="297">
        <v>44252</v>
      </c>
      <c r="M161" s="298" t="s">
        <v>1846</v>
      </c>
      <c r="N161" s="296" t="str">
        <f>"Guinee,Kankan,Siguiri,Niandankoro, Norassoba"</f>
        <v>Guinee,Kankan,Siguiri,Niandankoro, Norassoba</v>
      </c>
    </row>
    <row r="162" spans="2:14" ht="18.75" x14ac:dyDescent="0.15">
      <c r="B162" s="295" t="str">
        <f>"23056"</f>
        <v>23056</v>
      </c>
      <c r="C162" s="295" t="str">
        <f>"A2021/572/MMG/SGG"</f>
        <v>A2021/572/MMG/SGG</v>
      </c>
      <c r="D162" s="296" t="s">
        <v>1847</v>
      </c>
      <c r="E162" s="295" t="s">
        <v>154</v>
      </c>
      <c r="F162" s="295" t="s">
        <v>644</v>
      </c>
      <c r="G162" s="295" t="s">
        <v>1565</v>
      </c>
      <c r="H162" s="295" t="s">
        <v>1565</v>
      </c>
      <c r="I162" s="297">
        <v>44236.452256944445</v>
      </c>
      <c r="J162" s="297">
        <v>44288</v>
      </c>
      <c r="K162" s="297">
        <v>45383</v>
      </c>
      <c r="L162" s="297">
        <v>44215</v>
      </c>
      <c r="M162" s="298" t="s">
        <v>1848</v>
      </c>
      <c r="N162" s="296" t="str">
        <f>"Guinee,Kankan,Kankan,Gbérédou-Barana; Kouroussa,Baro"</f>
        <v>Guinee,Kankan,Kankan,Gbérédou-Barana; Kouroussa,Baro</v>
      </c>
    </row>
    <row r="163" spans="2:14" ht="27" x14ac:dyDescent="0.15">
      <c r="B163" s="295" t="str">
        <f>"23081"</f>
        <v>23081</v>
      </c>
      <c r="C163" s="295" t="str">
        <f>"A2021/571/MMG/SGG"</f>
        <v>A2021/571/MMG/SGG</v>
      </c>
      <c r="D163" s="296" t="s">
        <v>1849</v>
      </c>
      <c r="E163" s="295" t="s">
        <v>154</v>
      </c>
      <c r="F163" s="295" t="s">
        <v>644</v>
      </c>
      <c r="G163" s="295" t="s">
        <v>1565</v>
      </c>
      <c r="H163" s="295" t="s">
        <v>1565</v>
      </c>
      <c r="I163" s="297">
        <v>44271.412638888891</v>
      </c>
      <c r="J163" s="297">
        <v>44288</v>
      </c>
      <c r="K163" s="297">
        <v>45383</v>
      </c>
      <c r="L163" s="297">
        <v>44265</v>
      </c>
      <c r="M163" s="298" t="s">
        <v>1850</v>
      </c>
      <c r="N163" s="296" t="str">
        <f>"Guinee,Kankan,Mandiana,Kiniéran"</f>
        <v>Guinee,Kankan,Mandiana,Kiniéran</v>
      </c>
    </row>
    <row r="164" spans="2:14" ht="27" x14ac:dyDescent="0.15">
      <c r="B164" s="295" t="str">
        <f>"23062"</f>
        <v>23062</v>
      </c>
      <c r="C164" s="295" t="str">
        <f>"A2021/327/MMG/SGG"</f>
        <v>A2021/327/MMG/SGG</v>
      </c>
      <c r="D164" s="296" t="s">
        <v>1851</v>
      </c>
      <c r="E164" s="295" t="s">
        <v>78</v>
      </c>
      <c r="F164" s="295" t="s">
        <v>1781</v>
      </c>
      <c r="G164" s="295" t="s">
        <v>1565</v>
      </c>
      <c r="H164" s="295" t="s">
        <v>1565</v>
      </c>
      <c r="I164" s="297">
        <v>44250.443078703705</v>
      </c>
      <c r="J164" s="297">
        <v>44271</v>
      </c>
      <c r="K164" s="297">
        <v>45000</v>
      </c>
      <c r="L164" s="297">
        <v>44235</v>
      </c>
      <c r="M164" s="298" t="s">
        <v>1852</v>
      </c>
      <c r="N164" s="296" t="str">
        <f>"Guinee,N'Zerekore,N'Zerekore,Koulé"</f>
        <v>Guinee,N'Zerekore,N'Zerekore,Koulé</v>
      </c>
    </row>
    <row r="165" spans="2:14" x14ac:dyDescent="0.15">
      <c r="B165" s="295" t="str">
        <f>"23076"</f>
        <v>23076</v>
      </c>
      <c r="C165" s="295" t="str">
        <f>"A2021/2349/MMG/SGG"</f>
        <v>A2021/2349/MMG/SGG</v>
      </c>
      <c r="D165" s="296" t="s">
        <v>1853</v>
      </c>
      <c r="E165" s="295" t="s">
        <v>78</v>
      </c>
      <c r="F165" s="295" t="s">
        <v>1769</v>
      </c>
      <c r="G165" s="295" t="s">
        <v>1565</v>
      </c>
      <c r="H165" s="295" t="s">
        <v>1565</v>
      </c>
      <c r="I165" s="297">
        <v>44265.67832175926</v>
      </c>
      <c r="J165" s="297">
        <v>44433</v>
      </c>
      <c r="K165" s="297">
        <v>45162</v>
      </c>
      <c r="L165" s="297">
        <v>44264</v>
      </c>
      <c r="M165" s="298" t="s">
        <v>1854</v>
      </c>
      <c r="N165" s="296" t="str">
        <f>"Guinee,Kankan,Kerouane,Kérouané-centre"</f>
        <v>Guinee,Kankan,Kerouane,Kérouané-centre</v>
      </c>
    </row>
    <row r="166" spans="2:14" ht="27" x14ac:dyDescent="0.15">
      <c r="B166" s="295" t="str">
        <f>"22396"</f>
        <v>22396</v>
      </c>
      <c r="C166" s="295" t="str">
        <f>"A2021/2342/MMG/SGG"</f>
        <v>A2021/2342/MMG/SGG</v>
      </c>
      <c r="D166" s="296" t="s">
        <v>1855</v>
      </c>
      <c r="E166" s="295" t="s">
        <v>254</v>
      </c>
      <c r="F166" s="295" t="s">
        <v>1568</v>
      </c>
      <c r="G166" s="295" t="s">
        <v>1565</v>
      </c>
      <c r="H166" s="295" t="s">
        <v>1565</v>
      </c>
      <c r="I166" s="297">
        <v>43280.683391203704</v>
      </c>
      <c r="J166" s="297">
        <v>43305</v>
      </c>
      <c r="K166" s="297">
        <v>45163</v>
      </c>
      <c r="L166" s="297">
        <v>43180</v>
      </c>
      <c r="M166" s="298" t="s">
        <v>1856</v>
      </c>
      <c r="N166" s="296" t="str">
        <f>"Guinee,Labe,Lelouma,Hérico, Parawol, Sagalé; Mamou,Pita,Ninguélandé"</f>
        <v>Guinee,Labe,Lelouma,Hérico, Parawol, Sagalé; Mamou,Pita,Ninguélandé</v>
      </c>
    </row>
    <row r="167" spans="2:14" ht="18.75" x14ac:dyDescent="0.15">
      <c r="B167" s="295" t="str">
        <f>"23166"</f>
        <v>23166</v>
      </c>
      <c r="C167" s="295" t="str">
        <f>"A2021/2339/MMG/SGG"</f>
        <v>A2021/2339/MMG/SGG</v>
      </c>
      <c r="D167" s="296" t="s">
        <v>1857</v>
      </c>
      <c r="E167" s="295" t="s">
        <v>1794</v>
      </c>
      <c r="F167" s="295" t="s">
        <v>1594</v>
      </c>
      <c r="G167" s="295" t="s">
        <v>1565</v>
      </c>
      <c r="H167" s="295" t="s">
        <v>1565</v>
      </c>
      <c r="I167" s="297">
        <v>44407.480717592596</v>
      </c>
      <c r="J167" s="297">
        <v>44433</v>
      </c>
      <c r="K167" s="297">
        <v>45528</v>
      </c>
      <c r="L167" s="297">
        <v>44403</v>
      </c>
      <c r="M167" s="298" t="s">
        <v>1858</v>
      </c>
      <c r="N167" s="296" t="str">
        <f>"Guinee,Faranah,Kissidougo,Albadariah, Manfran, Sangardo"</f>
        <v>Guinee,Faranah,Kissidougo,Albadariah, Manfran, Sangardo</v>
      </c>
    </row>
    <row r="168" spans="2:14" ht="18.75" x14ac:dyDescent="0.15">
      <c r="B168" s="295" t="str">
        <f>"23167"</f>
        <v>23167</v>
      </c>
      <c r="C168" s="295" t="str">
        <f>"A2021/2338/MMG/SGG"</f>
        <v>A2021/2338/MMG/SGG</v>
      </c>
      <c r="D168" s="296" t="s">
        <v>1857</v>
      </c>
      <c r="E168" s="295" t="s">
        <v>1794</v>
      </c>
      <c r="F168" s="295" t="s">
        <v>1594</v>
      </c>
      <c r="G168" s="295" t="s">
        <v>1565</v>
      </c>
      <c r="H168" s="295" t="s">
        <v>1565</v>
      </c>
      <c r="I168" s="297">
        <v>44407.540208333332</v>
      </c>
      <c r="J168" s="297">
        <v>44433</v>
      </c>
      <c r="K168" s="297">
        <v>45528</v>
      </c>
      <c r="L168" s="297">
        <v>44403</v>
      </c>
      <c r="M168" s="298" t="s">
        <v>1859</v>
      </c>
      <c r="N168" s="296" t="str">
        <f>"Guinee,Kankan,Kouroussa,Douako"</f>
        <v>Guinee,Kankan,Kouroussa,Douako</v>
      </c>
    </row>
    <row r="169" spans="2:14" ht="27" x14ac:dyDescent="0.15">
      <c r="B169" s="295" t="str">
        <f>"23173"</f>
        <v>23173</v>
      </c>
      <c r="C169" s="295" t="str">
        <f>"A2021/2337/MMG/SGG"</f>
        <v>A2021/2337/MMG/SGG</v>
      </c>
      <c r="D169" s="296" t="s">
        <v>131</v>
      </c>
      <c r="E169" s="295" t="s">
        <v>154</v>
      </c>
      <c r="F169" s="295" t="s">
        <v>1860</v>
      </c>
      <c r="G169" s="295" t="s">
        <v>1565</v>
      </c>
      <c r="H169" s="295" t="s">
        <v>1565</v>
      </c>
      <c r="I169" s="297">
        <v>44411.687511574077</v>
      </c>
      <c r="J169" s="297">
        <v>44433</v>
      </c>
      <c r="K169" s="297">
        <v>45528</v>
      </c>
      <c r="L169" s="297">
        <v>44382</v>
      </c>
      <c r="M169" s="298" t="s">
        <v>1861</v>
      </c>
      <c r="N169" s="296" t="str">
        <f>"Guinee,Kankan,Mandiana,Faralako"</f>
        <v>Guinee,Kankan,Mandiana,Faralako</v>
      </c>
    </row>
    <row r="170" spans="2:14" ht="27" x14ac:dyDescent="0.15">
      <c r="B170" s="295" t="str">
        <f>"23174"</f>
        <v>23174</v>
      </c>
      <c r="C170" s="295" t="str">
        <f>"A2021/2336/MMG/SGG"</f>
        <v>A2021/2336/MMG/SGG</v>
      </c>
      <c r="D170" s="296" t="s">
        <v>131</v>
      </c>
      <c r="E170" s="295" t="s">
        <v>154</v>
      </c>
      <c r="F170" s="295" t="s">
        <v>1860</v>
      </c>
      <c r="G170" s="295" t="s">
        <v>1565</v>
      </c>
      <c r="H170" s="295" t="s">
        <v>1565</v>
      </c>
      <c r="I170" s="297">
        <v>44412.426064814812</v>
      </c>
      <c r="J170" s="297">
        <v>44433</v>
      </c>
      <c r="K170" s="297">
        <v>45528</v>
      </c>
      <c r="L170" s="297">
        <v>44382</v>
      </c>
      <c r="M170" s="298" t="s">
        <v>1862</v>
      </c>
      <c r="N170" s="296" t="str">
        <f>"Guinee,Kankan,Mandiana,Faralako"</f>
        <v>Guinee,Kankan,Mandiana,Faralako</v>
      </c>
    </row>
    <row r="171" spans="2:14" ht="18.75" x14ac:dyDescent="0.15">
      <c r="B171" s="295" t="str">
        <f>"23176"</f>
        <v>23176</v>
      </c>
      <c r="C171" s="295" t="str">
        <f>"A2021/2335/MMG/SGG"</f>
        <v>A2021/2335/MMG/SGG</v>
      </c>
      <c r="D171" s="296" t="s">
        <v>1863</v>
      </c>
      <c r="E171" s="295" t="s">
        <v>154</v>
      </c>
      <c r="F171" s="295" t="s">
        <v>1860</v>
      </c>
      <c r="G171" s="295" t="s">
        <v>1565</v>
      </c>
      <c r="H171" s="295" t="s">
        <v>1565</v>
      </c>
      <c r="I171" s="297">
        <v>44412.473958333336</v>
      </c>
      <c r="J171" s="297">
        <v>44433</v>
      </c>
      <c r="K171" s="297">
        <v>45528</v>
      </c>
      <c r="L171" s="297">
        <v>44410</v>
      </c>
      <c r="M171" s="298" t="s">
        <v>1864</v>
      </c>
      <c r="N171" s="296" t="str">
        <f>"Guinee,Kankan,Mandiana,Faralako"</f>
        <v>Guinee,Kankan,Mandiana,Faralako</v>
      </c>
    </row>
    <row r="172" spans="2:14" ht="18.75" x14ac:dyDescent="0.15">
      <c r="B172" s="295" t="str">
        <f>"23175"</f>
        <v>23175</v>
      </c>
      <c r="C172" s="295" t="str">
        <f>"A2021/2334/MMG/SGG"</f>
        <v>A2021/2334/MMG/SGG</v>
      </c>
      <c r="D172" s="296" t="s">
        <v>1863</v>
      </c>
      <c r="E172" s="295" t="s">
        <v>154</v>
      </c>
      <c r="F172" s="295" t="s">
        <v>1860</v>
      </c>
      <c r="G172" s="295" t="s">
        <v>1565</v>
      </c>
      <c r="H172" s="295" t="s">
        <v>1565</v>
      </c>
      <c r="I172" s="297">
        <v>44412.44226851852</v>
      </c>
      <c r="J172" s="297">
        <v>44433</v>
      </c>
      <c r="K172" s="297">
        <v>45528</v>
      </c>
      <c r="L172" s="297">
        <v>44410</v>
      </c>
      <c r="M172" s="298" t="s">
        <v>1865</v>
      </c>
      <c r="N172" s="296" t="str">
        <f>"Guinee,Kankan,Mandiana,Faralako, Morodou, Niantanina"</f>
        <v>Guinee,Kankan,Mandiana,Faralako, Morodou, Niantanina</v>
      </c>
    </row>
    <row r="173" spans="2:14" ht="18.75" x14ac:dyDescent="0.15">
      <c r="B173" s="295" t="str">
        <f>"23148"</f>
        <v>23148</v>
      </c>
      <c r="C173" s="295" t="str">
        <f>"A2021/2333/MMG/SGG"</f>
        <v>A2021/2333/MMG/SGG</v>
      </c>
      <c r="D173" s="296" t="s">
        <v>1866</v>
      </c>
      <c r="E173" s="295" t="s">
        <v>154</v>
      </c>
      <c r="F173" s="295" t="s">
        <v>644</v>
      </c>
      <c r="G173" s="295" t="s">
        <v>1565</v>
      </c>
      <c r="H173" s="295" t="s">
        <v>1565</v>
      </c>
      <c r="I173" s="297">
        <v>44375.495104166665</v>
      </c>
      <c r="J173" s="297">
        <v>44433</v>
      </c>
      <c r="K173" s="297">
        <v>45528</v>
      </c>
      <c r="L173" s="297">
        <v>44340</v>
      </c>
      <c r="M173" s="298" t="s">
        <v>1867</v>
      </c>
      <c r="N173" s="296" t="str">
        <f>"Guinee,Kankan,Kouroussa,Doura, Sanguiana"</f>
        <v>Guinee,Kankan,Kouroussa,Doura, Sanguiana</v>
      </c>
    </row>
    <row r="174" spans="2:14" ht="27" x14ac:dyDescent="0.15">
      <c r="B174" s="295" t="str">
        <f>"23120"</f>
        <v>23120</v>
      </c>
      <c r="C174" s="295" t="str">
        <f>"A2021/2332/MMG/SGG"</f>
        <v>A2021/2332/MMG/SGG</v>
      </c>
      <c r="D174" s="296" t="s">
        <v>1868</v>
      </c>
      <c r="E174" s="295" t="s">
        <v>1869</v>
      </c>
      <c r="F174" s="295" t="s">
        <v>1575</v>
      </c>
      <c r="G174" s="295" t="s">
        <v>1565</v>
      </c>
      <c r="H174" s="295" t="s">
        <v>1565</v>
      </c>
      <c r="I174" s="297">
        <v>44322.500381944446</v>
      </c>
      <c r="J174" s="297">
        <v>44433</v>
      </c>
      <c r="K174" s="297">
        <v>45528</v>
      </c>
      <c r="L174" s="297">
        <v>44285</v>
      </c>
      <c r="M174" s="298" t="s">
        <v>1870</v>
      </c>
      <c r="N174" s="296" t="str">
        <f>"Guinee,Mamou,Dalaba,Bodié, Kankalabé"</f>
        <v>Guinee,Mamou,Dalaba,Bodié, Kankalabé</v>
      </c>
    </row>
    <row r="175" spans="2:14" ht="27" x14ac:dyDescent="0.15">
      <c r="B175" s="295" t="str">
        <f>"23179"</f>
        <v>23179</v>
      </c>
      <c r="C175" s="295" t="str">
        <f>"A2021/2331/MMG/SGG"</f>
        <v>A2021/2331/MMG/SGG</v>
      </c>
      <c r="D175" s="296" t="s">
        <v>1871</v>
      </c>
      <c r="E175" s="295" t="s">
        <v>154</v>
      </c>
      <c r="F175" s="295" t="s">
        <v>644</v>
      </c>
      <c r="G175" s="295" t="s">
        <v>1565</v>
      </c>
      <c r="H175" s="295" t="s">
        <v>1565</v>
      </c>
      <c r="I175" s="297">
        <v>44418.620659722219</v>
      </c>
      <c r="J175" s="297">
        <v>44433</v>
      </c>
      <c r="K175" s="297">
        <v>45528</v>
      </c>
      <c r="L175" s="297">
        <v>44414</v>
      </c>
      <c r="M175" s="298" t="s">
        <v>1872</v>
      </c>
      <c r="N175" s="296" t="str">
        <f>"Guinee,Kankan,Kankan,Tinti-Oulen"</f>
        <v>Guinee,Kankan,Kankan,Tinti-Oulen</v>
      </c>
    </row>
    <row r="176" spans="2:14" ht="27" x14ac:dyDescent="0.15">
      <c r="B176" s="295" t="str">
        <f>"16762"</f>
        <v>16762</v>
      </c>
      <c r="C176" s="295" t="str">
        <f>"A2021/228/MMG/SGG"</f>
        <v>A2021/228/MMG/SGG</v>
      </c>
      <c r="D176" s="296" t="s">
        <v>598</v>
      </c>
      <c r="E176" s="295" t="s">
        <v>254</v>
      </c>
      <c r="F176" s="295" t="s">
        <v>1568</v>
      </c>
      <c r="G176" s="295" t="s">
        <v>1565</v>
      </c>
      <c r="H176" s="295" t="s">
        <v>1873</v>
      </c>
      <c r="I176" s="297">
        <v>42675.658437500002</v>
      </c>
      <c r="J176" s="297">
        <v>41638</v>
      </c>
      <c r="K176" s="297">
        <v>44623</v>
      </c>
      <c r="L176" s="297">
        <v>41437</v>
      </c>
      <c r="M176" s="298" t="s">
        <v>1874</v>
      </c>
      <c r="N176" s="296" t="str">
        <f>"Guinee,Mamou,Pita,Ley-Miro, Sangaréah"</f>
        <v>Guinee,Mamou,Pita,Ley-Miro, Sangaréah</v>
      </c>
    </row>
    <row r="177" spans="2:14" ht="18.75" x14ac:dyDescent="0.15">
      <c r="B177" s="295" t="str">
        <f>"22305"</f>
        <v>22305</v>
      </c>
      <c r="C177" s="295" t="str">
        <f>"A2021/226/MMG/SGG"</f>
        <v>A2021/226/MMG/SGG</v>
      </c>
      <c r="D177" s="296" t="s">
        <v>1875</v>
      </c>
      <c r="E177" s="295" t="s">
        <v>154</v>
      </c>
      <c r="F177" s="295" t="s">
        <v>644</v>
      </c>
      <c r="G177" s="295" t="s">
        <v>1565</v>
      </c>
      <c r="H177" s="295" t="s">
        <v>1565</v>
      </c>
      <c r="I177" s="297">
        <v>43152.483402777776</v>
      </c>
      <c r="J177" s="297">
        <v>43182</v>
      </c>
      <c r="K177" s="297">
        <v>44988</v>
      </c>
      <c r="L177" s="297">
        <v>43105</v>
      </c>
      <c r="M177" s="298" t="s">
        <v>1876</v>
      </c>
      <c r="N177" s="296" t="str">
        <f>"Guinee,Kankan,Siguiri,Doko"</f>
        <v>Guinee,Kankan,Siguiri,Doko</v>
      </c>
    </row>
    <row r="178" spans="2:14" ht="27" x14ac:dyDescent="0.15">
      <c r="B178" s="295" t="str">
        <f>"20437"</f>
        <v>20437</v>
      </c>
      <c r="C178" s="295" t="str">
        <f>"A2021/224/MMG/SGG"</f>
        <v>A2021/224/MMG/SGG</v>
      </c>
      <c r="D178" s="296" t="s">
        <v>598</v>
      </c>
      <c r="E178" s="295" t="s">
        <v>254</v>
      </c>
      <c r="F178" s="295" t="s">
        <v>1568</v>
      </c>
      <c r="G178" s="295" t="s">
        <v>1565</v>
      </c>
      <c r="H178" s="295" t="s">
        <v>1565</v>
      </c>
      <c r="I178" s="297"/>
      <c r="J178" s="297">
        <v>42366</v>
      </c>
      <c r="K178" s="297">
        <v>44988</v>
      </c>
      <c r="L178" s="297">
        <v>42026</v>
      </c>
      <c r="M178" s="298" t="s">
        <v>1877</v>
      </c>
      <c r="N178" s="296" t="str">
        <f>"Guinee,Mamou,Pita,Gongoret (P), Sangaréah"</f>
        <v>Guinee,Mamou,Pita,Gongoret (P), Sangaréah</v>
      </c>
    </row>
    <row r="179" spans="2:14" ht="27" x14ac:dyDescent="0.15">
      <c r="B179" s="295" t="str">
        <f>"23060"</f>
        <v>23060</v>
      </c>
      <c r="C179" s="295" t="str">
        <f>"A2021/219/MMG/SGG"</f>
        <v>A2021/219/MMG/SGG</v>
      </c>
      <c r="D179" s="296" t="s">
        <v>1878</v>
      </c>
      <c r="E179" s="295" t="s">
        <v>154</v>
      </c>
      <c r="F179" s="295" t="s">
        <v>644</v>
      </c>
      <c r="G179" s="295" t="s">
        <v>1565</v>
      </c>
      <c r="H179" s="295" t="s">
        <v>1565</v>
      </c>
      <c r="I179" s="297">
        <v>44243.556655092594</v>
      </c>
      <c r="J179" s="297">
        <v>44258</v>
      </c>
      <c r="K179" s="297">
        <v>45353</v>
      </c>
      <c r="L179" s="297">
        <v>44228</v>
      </c>
      <c r="M179" s="298" t="s">
        <v>1879</v>
      </c>
      <c r="N179" s="296" t="str">
        <f>"Guinee,Faranah,Kissidougo,Firawa, Manfran"</f>
        <v>Guinee,Faranah,Kissidougo,Firawa, Manfran</v>
      </c>
    </row>
    <row r="180" spans="2:14" ht="27" x14ac:dyDescent="0.15">
      <c r="B180" s="295" t="str">
        <f>"20403"</f>
        <v>20403</v>
      </c>
      <c r="C180" s="295" t="str">
        <f>"A2021/1961/MMG/SGG"</f>
        <v>A2021/1961/MMG/SGG</v>
      </c>
      <c r="D180" s="296" t="s">
        <v>1880</v>
      </c>
      <c r="E180" s="295" t="s">
        <v>1869</v>
      </c>
      <c r="F180" s="295" t="s">
        <v>1881</v>
      </c>
      <c r="G180" s="295" t="s">
        <v>1565</v>
      </c>
      <c r="H180" s="295" t="s">
        <v>1873</v>
      </c>
      <c r="I180" s="297">
        <v>42340</v>
      </c>
      <c r="J180" s="297">
        <v>42440</v>
      </c>
      <c r="K180" s="297">
        <v>44769</v>
      </c>
      <c r="L180" s="297">
        <v>42340</v>
      </c>
      <c r="M180" s="298" t="s">
        <v>1882</v>
      </c>
      <c r="N180" s="296" t="str">
        <f>"Guinee,Boke,Boffa,Boffa, Douprou"</f>
        <v>Guinee,Boke,Boffa,Boffa, Douprou</v>
      </c>
    </row>
    <row r="181" spans="2:14" ht="27" x14ac:dyDescent="0.15">
      <c r="B181" s="295" t="str">
        <f>"20405"</f>
        <v>20405</v>
      </c>
      <c r="C181" s="295" t="str">
        <f>"A2021/1960/MMG/SGG"</f>
        <v>A2021/1960/MMG/SGG</v>
      </c>
      <c r="D181" s="296" t="s">
        <v>1880</v>
      </c>
      <c r="E181" s="295" t="s">
        <v>1869</v>
      </c>
      <c r="F181" s="295" t="s">
        <v>1881</v>
      </c>
      <c r="G181" s="295" t="s">
        <v>1565</v>
      </c>
      <c r="H181" s="295" t="s">
        <v>1873</v>
      </c>
      <c r="I181" s="297">
        <v>42411.443240740744</v>
      </c>
      <c r="J181" s="297">
        <v>42440</v>
      </c>
      <c r="K181" s="297">
        <v>44769</v>
      </c>
      <c r="L181" s="297">
        <v>42340</v>
      </c>
      <c r="M181" s="298" t="s">
        <v>1883</v>
      </c>
      <c r="N181" s="296" t="str">
        <f>"Guinee,Boke,Boke,Kanfarandé"</f>
        <v>Guinee,Boke,Boke,Kanfarandé</v>
      </c>
    </row>
    <row r="182" spans="2:14" ht="27" x14ac:dyDescent="0.15">
      <c r="B182" s="295" t="str">
        <f>"20404"</f>
        <v>20404</v>
      </c>
      <c r="C182" s="295" t="str">
        <f>"A2021/1959/MMG/SGG"</f>
        <v>A2021/1959/MMG/SGG</v>
      </c>
      <c r="D182" s="296" t="s">
        <v>1880</v>
      </c>
      <c r="E182" s="295" t="s">
        <v>1869</v>
      </c>
      <c r="F182" s="295" t="s">
        <v>1881</v>
      </c>
      <c r="G182" s="295" t="s">
        <v>1565</v>
      </c>
      <c r="H182" s="295" t="s">
        <v>1873</v>
      </c>
      <c r="I182" s="297">
        <v>42046.443240740744</v>
      </c>
      <c r="J182" s="297">
        <v>42440</v>
      </c>
      <c r="K182" s="297">
        <v>44769</v>
      </c>
      <c r="L182" s="297">
        <v>42340</v>
      </c>
      <c r="M182" s="298" t="s">
        <v>1884</v>
      </c>
      <c r="N182" s="296" t="str">
        <f>"Guinee,Boke,Boffa,Boffa, Douprou"</f>
        <v>Guinee,Boke,Boffa,Boffa, Douprou</v>
      </c>
    </row>
    <row r="183" spans="2:14" ht="18.75" x14ac:dyDescent="0.15">
      <c r="B183" s="295" t="str">
        <f>"23155"</f>
        <v>23155</v>
      </c>
      <c r="C183" s="295" t="str">
        <f>"A2021/1958/MMG/SGG"</f>
        <v>A2021/1958/MMG/SGG</v>
      </c>
      <c r="D183" s="296" t="s">
        <v>1885</v>
      </c>
      <c r="E183" s="295" t="s">
        <v>154</v>
      </c>
      <c r="F183" s="295" t="s">
        <v>644</v>
      </c>
      <c r="G183" s="295" t="s">
        <v>1565</v>
      </c>
      <c r="H183" s="295" t="s">
        <v>1565</v>
      </c>
      <c r="I183" s="297">
        <v>44385.54582175926</v>
      </c>
      <c r="J183" s="297">
        <v>44404</v>
      </c>
      <c r="K183" s="297">
        <v>45499</v>
      </c>
      <c r="L183" s="297">
        <v>44363</v>
      </c>
      <c r="M183" s="298" t="s">
        <v>1886</v>
      </c>
      <c r="N183" s="296" t="str">
        <f>"Guinee,Kankan,Siguiri,Doko"</f>
        <v>Guinee,Kankan,Siguiri,Doko</v>
      </c>
    </row>
    <row r="184" spans="2:14" ht="27" x14ac:dyDescent="0.15">
      <c r="B184" s="295" t="str">
        <f>"23149"</f>
        <v>23149</v>
      </c>
      <c r="C184" s="295" t="str">
        <f>"A2021/1806/MMG/SGG"</f>
        <v>A2021/1806/MMG/SGG</v>
      </c>
      <c r="D184" s="296" t="s">
        <v>1887</v>
      </c>
      <c r="E184" s="295" t="s">
        <v>78</v>
      </c>
      <c r="F184" s="295" t="s">
        <v>1769</v>
      </c>
      <c r="G184" s="295" t="s">
        <v>1565</v>
      </c>
      <c r="H184" s="295" t="s">
        <v>1565</v>
      </c>
      <c r="I184" s="297">
        <v>44377.567395833335</v>
      </c>
      <c r="J184" s="297">
        <v>44390</v>
      </c>
      <c r="K184" s="297">
        <v>45119</v>
      </c>
      <c r="L184" s="297">
        <v>44358</v>
      </c>
      <c r="M184" s="298" t="s">
        <v>1888</v>
      </c>
      <c r="N184" s="296" t="str">
        <f>"Guinee,Kindia,Coyah,Kouria"</f>
        <v>Guinee,Kindia,Coyah,Kouria</v>
      </c>
    </row>
    <row r="185" spans="2:14" ht="18.75" x14ac:dyDescent="0.15">
      <c r="B185" s="295" t="str">
        <f>"23180"</f>
        <v>23180</v>
      </c>
      <c r="C185" s="295" t="str">
        <f>"A2021/1805/MMG/SGG"</f>
        <v>A2021/1805/MMG/SGG</v>
      </c>
      <c r="D185" s="296" t="s">
        <v>1866</v>
      </c>
      <c r="E185" s="295" t="s">
        <v>154</v>
      </c>
      <c r="F185" s="295" t="s">
        <v>1860</v>
      </c>
      <c r="G185" s="295" t="s">
        <v>1565</v>
      </c>
      <c r="H185" s="295" t="s">
        <v>1565</v>
      </c>
      <c r="I185" s="297">
        <v>44419.62195601852</v>
      </c>
      <c r="J185" s="297">
        <v>44390</v>
      </c>
      <c r="K185" s="297">
        <v>45485</v>
      </c>
      <c r="L185" s="297">
        <v>44419</v>
      </c>
      <c r="M185" s="298" t="s">
        <v>1889</v>
      </c>
      <c r="N185" s="296" t="str">
        <f>"Guinee,Kankan,Kouroussa,Komola-khoura; Siguiri,Norassoba"</f>
        <v>Guinee,Kankan,Kouroussa,Komola-khoura; Siguiri,Norassoba</v>
      </c>
    </row>
    <row r="186" spans="2:14" x14ac:dyDescent="0.15">
      <c r="B186" s="295" t="str">
        <f>"23150"</f>
        <v>23150</v>
      </c>
      <c r="C186" s="295" t="str">
        <f>"A2021/1804/MMG/SGG"</f>
        <v>A2021/1804/MMG/SGG</v>
      </c>
      <c r="D186" s="296" t="s">
        <v>331</v>
      </c>
      <c r="E186" s="295" t="s">
        <v>78</v>
      </c>
      <c r="F186" s="295" t="s">
        <v>1890</v>
      </c>
      <c r="G186" s="295" t="s">
        <v>1565</v>
      </c>
      <c r="H186" s="295" t="s">
        <v>1565</v>
      </c>
      <c r="I186" s="297">
        <v>44378.512418981481</v>
      </c>
      <c r="J186" s="297">
        <v>44390</v>
      </c>
      <c r="K186" s="297">
        <v>45119</v>
      </c>
      <c r="L186" s="297">
        <v>44309</v>
      </c>
      <c r="M186" s="298" t="s">
        <v>1891</v>
      </c>
      <c r="N186" s="296" t="str">
        <f>"Guinee,Kindia,Dubreka,Ouassou"</f>
        <v>Guinee,Kindia,Dubreka,Ouassou</v>
      </c>
    </row>
    <row r="187" spans="2:14" ht="27" x14ac:dyDescent="0.15">
      <c r="B187" s="295" t="str">
        <f>"23152"</f>
        <v>23152</v>
      </c>
      <c r="C187" s="295" t="str">
        <f>"A2021/1803/MMG/SGG"</f>
        <v>A2021/1803/MMG/SGG</v>
      </c>
      <c r="D187" s="296" t="s">
        <v>1892</v>
      </c>
      <c r="E187" s="295" t="s">
        <v>254</v>
      </c>
      <c r="F187" s="295" t="s">
        <v>1568</v>
      </c>
      <c r="G187" s="295" t="s">
        <v>1565</v>
      </c>
      <c r="H187" s="295" t="s">
        <v>1565</v>
      </c>
      <c r="I187" s="297">
        <v>44378.61142361111</v>
      </c>
      <c r="J187" s="297">
        <v>44390</v>
      </c>
      <c r="K187" s="297">
        <v>45485</v>
      </c>
      <c r="L187" s="297">
        <v>44268</v>
      </c>
      <c r="M187" s="298" t="s">
        <v>1893</v>
      </c>
      <c r="N187" s="296" t="str">
        <f>"Guinee,Boke,Koundara,Guinguan, Termessé; Labe,Mali,Touba Bagadadji"</f>
        <v>Guinee,Boke,Koundara,Guinguan, Termessé; Labe,Mali,Touba Bagadadji</v>
      </c>
    </row>
    <row r="188" spans="2:14" ht="27" x14ac:dyDescent="0.15">
      <c r="B188" s="295" t="str">
        <f>"23141"</f>
        <v>23141</v>
      </c>
      <c r="C188" s="295" t="str">
        <f>"A2021/1693/MMG/SGG"</f>
        <v>A2021/1693/MMG/SGG</v>
      </c>
      <c r="D188" s="296" t="s">
        <v>1894</v>
      </c>
      <c r="E188" s="295" t="s">
        <v>154</v>
      </c>
      <c r="F188" s="295" t="s">
        <v>644</v>
      </c>
      <c r="G188" s="295" t="s">
        <v>1565</v>
      </c>
      <c r="H188" s="295" t="s">
        <v>1565</v>
      </c>
      <c r="I188" s="297">
        <v>44363.432696759257</v>
      </c>
      <c r="J188" s="297">
        <v>44383</v>
      </c>
      <c r="K188" s="297">
        <v>45478</v>
      </c>
      <c r="L188" s="297">
        <v>44355</v>
      </c>
      <c r="M188" s="298" t="s">
        <v>1895</v>
      </c>
      <c r="N188" s="296" t="str">
        <f>"Guinee,Kankan,Siguiri,Niagassola"</f>
        <v>Guinee,Kankan,Siguiri,Niagassola</v>
      </c>
    </row>
    <row r="189" spans="2:14" ht="18.75" x14ac:dyDescent="0.15">
      <c r="B189" s="295" t="str">
        <f>"23130"</f>
        <v>23130</v>
      </c>
      <c r="C189" s="295" t="str">
        <f>"A2021/1692/MMG/SGG"</f>
        <v>A2021/1692/MMG/SGG</v>
      </c>
      <c r="D189" s="296" t="s">
        <v>1896</v>
      </c>
      <c r="E189" s="295" t="s">
        <v>154</v>
      </c>
      <c r="F189" s="295" t="s">
        <v>644</v>
      </c>
      <c r="G189" s="295" t="s">
        <v>1565</v>
      </c>
      <c r="H189" s="295" t="s">
        <v>1565</v>
      </c>
      <c r="I189" s="297">
        <v>44344.438657407409</v>
      </c>
      <c r="J189" s="297">
        <v>44383</v>
      </c>
      <c r="K189" s="297">
        <v>45478</v>
      </c>
      <c r="L189" s="297">
        <v>44307</v>
      </c>
      <c r="M189" s="298" t="s">
        <v>1897</v>
      </c>
      <c r="N189" s="296" t="str">
        <f>"Guinee,Labe,Mali,Balaki"</f>
        <v>Guinee,Labe,Mali,Balaki</v>
      </c>
    </row>
    <row r="190" spans="2:14" ht="40.5" x14ac:dyDescent="0.15">
      <c r="B190" s="295" t="str">
        <f>"23135"</f>
        <v>23135</v>
      </c>
      <c r="C190" s="295" t="str">
        <f>"A2021/1691/MMG/SGG"</f>
        <v>A2021/1691/MMG/SGG</v>
      </c>
      <c r="D190" s="296" t="s">
        <v>1898</v>
      </c>
      <c r="E190" s="295" t="s">
        <v>1820</v>
      </c>
      <c r="F190" s="295" t="s">
        <v>1899</v>
      </c>
      <c r="G190" s="295" t="s">
        <v>1565</v>
      </c>
      <c r="H190" s="295" t="s">
        <v>1565</v>
      </c>
      <c r="I190" s="297">
        <v>44361.469178240739</v>
      </c>
      <c r="J190" s="297">
        <v>44383</v>
      </c>
      <c r="K190" s="297">
        <v>45478</v>
      </c>
      <c r="L190" s="297">
        <v>44322</v>
      </c>
      <c r="M190" s="298" t="s">
        <v>1900</v>
      </c>
      <c r="N190" s="296" t="str">
        <f>"Guinee,Kankan,Kerouane,Sibiribaro, Soromaya"</f>
        <v>Guinee,Kankan,Kerouane,Sibiribaro, Soromaya</v>
      </c>
    </row>
    <row r="191" spans="2:14" ht="27" x14ac:dyDescent="0.15">
      <c r="B191" s="295" t="str">
        <f>"23143"</f>
        <v>23143</v>
      </c>
      <c r="C191" s="295" t="str">
        <f>"A2021/1690/MMG/SGG"</f>
        <v>A2021/1690/MMG/SGG</v>
      </c>
      <c r="D191" s="296" t="s">
        <v>1894</v>
      </c>
      <c r="E191" s="295" t="s">
        <v>154</v>
      </c>
      <c r="F191" s="295" t="s">
        <v>644</v>
      </c>
      <c r="G191" s="295" t="s">
        <v>1565</v>
      </c>
      <c r="H191" s="295" t="s">
        <v>1565</v>
      </c>
      <c r="I191" s="297">
        <v>44363.4684837963</v>
      </c>
      <c r="J191" s="297">
        <v>44383</v>
      </c>
      <c r="K191" s="297">
        <v>45478</v>
      </c>
      <c r="L191" s="297">
        <v>44355</v>
      </c>
      <c r="M191" s="298" t="s">
        <v>1901</v>
      </c>
      <c r="N191" s="296" t="str">
        <f>"Guinee,Faranah,Kissidougo,Manfran; Kankan,Kankan,Tokounou"</f>
        <v>Guinee,Faranah,Kissidougo,Manfran; Kankan,Kankan,Tokounou</v>
      </c>
    </row>
    <row r="192" spans="2:14" ht="18.75" x14ac:dyDescent="0.15">
      <c r="B192" s="295" t="str">
        <f>"23139"</f>
        <v>23139</v>
      </c>
      <c r="C192" s="295" t="str">
        <f>"A2021/1689/MMG/SGG"</f>
        <v>A2021/1689/MMG/SGG</v>
      </c>
      <c r="D192" s="296" t="s">
        <v>1902</v>
      </c>
      <c r="E192" s="295" t="s">
        <v>154</v>
      </c>
      <c r="F192" s="295" t="s">
        <v>644</v>
      </c>
      <c r="G192" s="295" t="s">
        <v>1565</v>
      </c>
      <c r="H192" s="295" t="s">
        <v>1565</v>
      </c>
      <c r="I192" s="297">
        <v>44362.626932870371</v>
      </c>
      <c r="J192" s="297">
        <v>44383</v>
      </c>
      <c r="K192" s="297">
        <v>45478</v>
      </c>
      <c r="L192" s="297">
        <v>44354</v>
      </c>
      <c r="M192" s="298" t="s">
        <v>1903</v>
      </c>
      <c r="N192" s="296" t="str">
        <f>"Guinee,Kankan,Mandiana,Balandougouba"</f>
        <v>Guinee,Kankan,Mandiana,Balandougouba</v>
      </c>
    </row>
    <row r="193" spans="2:14" ht="18.75" x14ac:dyDescent="0.15">
      <c r="B193" s="295" t="str">
        <f>"23140"</f>
        <v>23140</v>
      </c>
      <c r="C193" s="295" t="str">
        <f>"A2021/1688/MMG/SGG"</f>
        <v>A2021/1688/MMG/SGG</v>
      </c>
      <c r="D193" s="296" t="s">
        <v>1904</v>
      </c>
      <c r="E193" s="295" t="s">
        <v>154</v>
      </c>
      <c r="F193" s="295" t="s">
        <v>644</v>
      </c>
      <c r="G193" s="295" t="s">
        <v>1565</v>
      </c>
      <c r="H193" s="295" t="s">
        <v>1565</v>
      </c>
      <c r="I193" s="297">
        <v>44362.642812500002</v>
      </c>
      <c r="J193" s="297">
        <v>44383</v>
      </c>
      <c r="K193" s="297">
        <v>45478</v>
      </c>
      <c r="L193" s="297">
        <v>44354</v>
      </c>
      <c r="M193" s="298" t="s">
        <v>1905</v>
      </c>
      <c r="N193" s="296" t="str">
        <f>"Guinee,Kankan,Siguiri,Kiniebakoura"</f>
        <v>Guinee,Kankan,Siguiri,Kiniebakoura</v>
      </c>
    </row>
    <row r="194" spans="2:14" ht="27" x14ac:dyDescent="0.15">
      <c r="B194" s="295" t="str">
        <f>"23142"</f>
        <v>23142</v>
      </c>
      <c r="C194" s="295" t="str">
        <f>"A2021/1687/MMG/SGG"</f>
        <v>A2021/1687/MMG/SGG</v>
      </c>
      <c r="D194" s="296" t="s">
        <v>1894</v>
      </c>
      <c r="E194" s="295" t="s">
        <v>154</v>
      </c>
      <c r="F194" s="295" t="s">
        <v>644</v>
      </c>
      <c r="G194" s="295" t="s">
        <v>1565</v>
      </c>
      <c r="H194" s="295" t="s">
        <v>1565</v>
      </c>
      <c r="I194" s="297">
        <v>44363.455520833333</v>
      </c>
      <c r="J194" s="297">
        <v>44383</v>
      </c>
      <c r="K194" s="297">
        <v>45478</v>
      </c>
      <c r="L194" s="297">
        <v>44355</v>
      </c>
      <c r="M194" s="298" t="s">
        <v>1906</v>
      </c>
      <c r="N194" s="296" t="str">
        <f>"Guinee,Faranah,Kissidougo,Manfran"</f>
        <v>Guinee,Faranah,Kissidougo,Manfran</v>
      </c>
    </row>
    <row r="195" spans="2:14" ht="18.75" x14ac:dyDescent="0.15">
      <c r="B195" s="295" t="str">
        <f>"23138"</f>
        <v>23138</v>
      </c>
      <c r="C195" s="295" t="str">
        <f>"A2021/1686/MMG/SGG"</f>
        <v>A2021/1686/MMG/SGG</v>
      </c>
      <c r="D195" s="296" t="s">
        <v>1907</v>
      </c>
      <c r="E195" s="295" t="s">
        <v>154</v>
      </c>
      <c r="F195" s="295" t="s">
        <v>644</v>
      </c>
      <c r="G195" s="295" t="s">
        <v>1565</v>
      </c>
      <c r="H195" s="295" t="s">
        <v>1565</v>
      </c>
      <c r="I195" s="297">
        <v>44362.551851851851</v>
      </c>
      <c r="J195" s="297">
        <v>44383</v>
      </c>
      <c r="K195" s="297">
        <v>45478</v>
      </c>
      <c r="L195" s="297">
        <v>44354</v>
      </c>
      <c r="M195" s="298" t="s">
        <v>1908</v>
      </c>
      <c r="N195" s="296" t="str">
        <f>"Guinee,Kankan,Siguiri,Doko, Siguiri-centre"</f>
        <v>Guinee,Kankan,Siguiri,Doko, Siguiri-centre</v>
      </c>
    </row>
    <row r="196" spans="2:14" ht="27" x14ac:dyDescent="0.15">
      <c r="B196" s="295" t="str">
        <f>"22342"</f>
        <v>22342</v>
      </c>
      <c r="C196" s="295" t="str">
        <f>"A2021/1638/MMG/SGG"</f>
        <v>A2021/1638/MMG/SGG</v>
      </c>
      <c r="D196" s="296" t="s">
        <v>1909</v>
      </c>
      <c r="E196" s="295" t="s">
        <v>154</v>
      </c>
      <c r="F196" s="295" t="s">
        <v>644</v>
      </c>
      <c r="G196" s="295" t="s">
        <v>1565</v>
      </c>
      <c r="H196" s="295" t="s">
        <v>1678</v>
      </c>
      <c r="I196" s="297">
        <v>43202.584178240744</v>
      </c>
      <c r="J196" s="297">
        <v>43322</v>
      </c>
      <c r="K196" s="297">
        <v>44740</v>
      </c>
      <c r="L196" s="297">
        <v>43199</v>
      </c>
      <c r="M196" s="298" t="s">
        <v>1910</v>
      </c>
      <c r="N196" s="296" t="str">
        <f>"Guinee,Kankan,Siguiri,Niandankoro, Norassoba"</f>
        <v>Guinee,Kankan,Siguiri,Niandankoro, Norassoba</v>
      </c>
    </row>
    <row r="197" spans="2:14" ht="27" x14ac:dyDescent="0.15">
      <c r="B197" s="295" t="str">
        <f>"22121"</f>
        <v>22121</v>
      </c>
      <c r="C197" s="295" t="str">
        <f>"A2021/1636/MMG/SGG"</f>
        <v>A2021/1636/MMG/SGG</v>
      </c>
      <c r="D197" s="296" t="s">
        <v>1911</v>
      </c>
      <c r="E197" s="295" t="s">
        <v>254</v>
      </c>
      <c r="F197" s="295" t="s">
        <v>1568</v>
      </c>
      <c r="G197" s="295" t="s">
        <v>1565</v>
      </c>
      <c r="H197" s="295" t="s">
        <v>1565</v>
      </c>
      <c r="I197" s="297">
        <v>42831.565937500003</v>
      </c>
      <c r="J197" s="297">
        <v>42950</v>
      </c>
      <c r="K197" s="297">
        <v>45105</v>
      </c>
      <c r="L197" s="297">
        <v>42825</v>
      </c>
      <c r="M197" s="298" t="s">
        <v>1912</v>
      </c>
      <c r="N197" s="296" t="str">
        <f>"Guinee,Kindia,Kindia,Souguéta; Mamou,Dalaba,Koba; Mamou,Kounkouré"</f>
        <v>Guinee,Kindia,Kindia,Souguéta; Mamou,Dalaba,Koba; Mamou,Kounkouré</v>
      </c>
    </row>
    <row r="198" spans="2:14" ht="18.75" x14ac:dyDescent="0.15">
      <c r="B198" s="295" t="str">
        <f>"22367"</f>
        <v>22367</v>
      </c>
      <c r="C198" s="295" t="str">
        <f>"A2021/1635/MMG/SGG"</f>
        <v>A2021/1635/MMG/SGG</v>
      </c>
      <c r="D198" s="296" t="s">
        <v>1913</v>
      </c>
      <c r="E198" s="295" t="s">
        <v>154</v>
      </c>
      <c r="F198" s="295" t="s">
        <v>644</v>
      </c>
      <c r="G198" s="295" t="s">
        <v>1565</v>
      </c>
      <c r="H198" s="295" t="s">
        <v>1565</v>
      </c>
      <c r="I198" s="297">
        <v>43243.477361111109</v>
      </c>
      <c r="J198" s="297">
        <v>43256</v>
      </c>
      <c r="K198" s="297">
        <v>45105</v>
      </c>
      <c r="L198" s="297">
        <v>43235</v>
      </c>
      <c r="M198" s="298" t="s">
        <v>1914</v>
      </c>
      <c r="N198" s="296" t="str">
        <f>"Guinee,Kankan,Kouroussa,Komola-khoura"</f>
        <v>Guinee,Kankan,Kouroussa,Komola-khoura</v>
      </c>
    </row>
    <row r="199" spans="2:14" ht="18.75" x14ac:dyDescent="0.15">
      <c r="B199" s="295" t="str">
        <f>"22366"</f>
        <v>22366</v>
      </c>
      <c r="C199" s="295" t="str">
        <f>"A2021/1634/MMG/SGG"</f>
        <v>A2021/1634/MMG/SGG</v>
      </c>
      <c r="D199" s="296" t="s">
        <v>1913</v>
      </c>
      <c r="E199" s="295" t="s">
        <v>154</v>
      </c>
      <c r="F199" s="295" t="s">
        <v>644</v>
      </c>
      <c r="G199" s="295" t="s">
        <v>1565</v>
      </c>
      <c r="H199" s="295" t="s">
        <v>1565</v>
      </c>
      <c r="I199" s="297">
        <v>43243.442303240743</v>
      </c>
      <c r="J199" s="297">
        <v>43256</v>
      </c>
      <c r="K199" s="297">
        <v>45105</v>
      </c>
      <c r="L199" s="297">
        <v>43235</v>
      </c>
      <c r="M199" s="298" t="s">
        <v>1915</v>
      </c>
      <c r="N199" s="296" t="str">
        <f>"Guinee,Kankan,Kouroussa,Komola-khoura"</f>
        <v>Guinee,Kankan,Kouroussa,Komola-khoura</v>
      </c>
    </row>
    <row r="200" spans="2:14" ht="40.5" x14ac:dyDescent="0.15">
      <c r="B200" s="295" t="str">
        <f>"23133"</f>
        <v>23133</v>
      </c>
      <c r="C200" s="295" t="str">
        <f>"A2021/1628/MMG/SGG"</f>
        <v>A2021/1628/MMG/SGG</v>
      </c>
      <c r="D200" s="296" t="s">
        <v>1916</v>
      </c>
      <c r="E200" s="295" t="s">
        <v>1820</v>
      </c>
      <c r="F200" s="295" t="s">
        <v>1899</v>
      </c>
      <c r="G200" s="295" t="s">
        <v>1565</v>
      </c>
      <c r="H200" s="295" t="s">
        <v>1565</v>
      </c>
      <c r="I200" s="297">
        <v>44351.637291666666</v>
      </c>
      <c r="J200" s="297">
        <v>44405</v>
      </c>
      <c r="K200" s="297">
        <v>45500</v>
      </c>
      <c r="L200" s="297">
        <v>44313</v>
      </c>
      <c r="M200" s="298" t="s">
        <v>1917</v>
      </c>
      <c r="N200" s="296" t="str">
        <f>"Guinee,Kankan,Kerouane,Banankoro, Soromaya"</f>
        <v>Guinee,Kankan,Kerouane,Banankoro, Soromaya</v>
      </c>
    </row>
    <row r="201" spans="2:14" ht="27" x14ac:dyDescent="0.15">
      <c r="B201" s="295" t="str">
        <f>"23134"</f>
        <v>23134</v>
      </c>
      <c r="C201" s="295" t="str">
        <f>"A2021/1618/MMG/SGG"</f>
        <v>A2021/1618/MMG/SGG</v>
      </c>
      <c r="D201" s="296" t="s">
        <v>1918</v>
      </c>
      <c r="E201" s="295" t="s">
        <v>154</v>
      </c>
      <c r="F201" s="295" t="s">
        <v>644</v>
      </c>
      <c r="G201" s="295" t="s">
        <v>1565</v>
      </c>
      <c r="H201" s="295" t="s">
        <v>1565</v>
      </c>
      <c r="I201" s="297">
        <v>44355.664004629631</v>
      </c>
      <c r="J201" s="297">
        <v>44405</v>
      </c>
      <c r="K201" s="297">
        <v>45500</v>
      </c>
      <c r="L201" s="297">
        <v>44313</v>
      </c>
      <c r="M201" s="298" t="s">
        <v>1919</v>
      </c>
      <c r="N201" s="296" t="str">
        <f>"Guinee,Kankan,Kouroussa,Komola-khoura"</f>
        <v>Guinee,Kankan,Kouroussa,Komola-khoura</v>
      </c>
    </row>
    <row r="202" spans="2:14" ht="18.75" x14ac:dyDescent="0.15">
      <c r="B202" s="295" t="str">
        <f>"22006"</f>
        <v>22006</v>
      </c>
      <c r="C202" s="295" t="str">
        <f>"A2021/141/MMG/SGG"</f>
        <v>A2021/141/MMG/SGG</v>
      </c>
      <c r="D202" s="296" t="s">
        <v>1920</v>
      </c>
      <c r="E202" s="295" t="s">
        <v>154</v>
      </c>
      <c r="F202" s="295" t="s">
        <v>644</v>
      </c>
      <c r="G202" s="295" t="s">
        <v>1565</v>
      </c>
      <c r="H202" s="295" t="s">
        <v>1565</v>
      </c>
      <c r="I202" s="297">
        <v>42650.427719907406</v>
      </c>
      <c r="J202" s="297">
        <v>42668</v>
      </c>
      <c r="K202" s="297">
        <v>44976</v>
      </c>
      <c r="L202" s="297">
        <v>42647</v>
      </c>
      <c r="M202" s="298" t="s">
        <v>1921</v>
      </c>
      <c r="N202" s="296" t="str">
        <f>"Guinee,Kankan,Kankan,Gbérédou-Barana, Koumban"</f>
        <v>Guinee,Kankan,Kankan,Gbérédou-Barana, Koumban</v>
      </c>
    </row>
    <row r="203" spans="2:14" ht="18.75" x14ac:dyDescent="0.15">
      <c r="B203" s="295" t="str">
        <f>"22262"</f>
        <v>22262</v>
      </c>
      <c r="C203" s="295" t="str">
        <f>"A2021/140/MMG/SGG"</f>
        <v>A2021/140/MMG/SGG</v>
      </c>
      <c r="D203" s="296" t="s">
        <v>1922</v>
      </c>
      <c r="E203" s="295" t="s">
        <v>154</v>
      </c>
      <c r="F203" s="295" t="s">
        <v>644</v>
      </c>
      <c r="G203" s="295" t="s">
        <v>1565</v>
      </c>
      <c r="H203" s="295" t="s">
        <v>1565</v>
      </c>
      <c r="I203" s="297">
        <v>43049.412777777776</v>
      </c>
      <c r="J203" s="297">
        <v>43201</v>
      </c>
      <c r="K203" s="297">
        <v>44973</v>
      </c>
      <c r="L203" s="297">
        <v>42970</v>
      </c>
      <c r="M203" s="298" t="s">
        <v>1923</v>
      </c>
      <c r="N203" s="296" t="str">
        <f>"Guinee,Kankan,Kankan,Missamana"</f>
        <v>Guinee,Kankan,Kankan,Missamana</v>
      </c>
    </row>
    <row r="204" spans="2:14" ht="18.75" x14ac:dyDescent="0.15">
      <c r="B204" s="295" t="str">
        <f>"22213"</f>
        <v>22213</v>
      </c>
      <c r="C204" s="295" t="str">
        <f>"A2021/139/MMG/SGG"</f>
        <v>A2021/139/MMG/SGG</v>
      </c>
      <c r="D204" s="296" t="s">
        <v>1924</v>
      </c>
      <c r="E204" s="295" t="s">
        <v>154</v>
      </c>
      <c r="F204" s="295" t="s">
        <v>644</v>
      </c>
      <c r="G204" s="295" t="s">
        <v>1565</v>
      </c>
      <c r="H204" s="295" t="s">
        <v>1565</v>
      </c>
      <c r="I204" s="297">
        <v>42970.658831018518</v>
      </c>
      <c r="J204" s="297">
        <v>42998</v>
      </c>
      <c r="K204" s="297">
        <v>44973</v>
      </c>
      <c r="L204" s="297">
        <v>42818</v>
      </c>
      <c r="M204" s="298" t="s">
        <v>1925</v>
      </c>
      <c r="N204" s="296" t="str">
        <f>"Guinee,Kankan,Kankan,Missamana"</f>
        <v>Guinee,Kankan,Kankan,Missamana</v>
      </c>
    </row>
    <row r="205" spans="2:14" ht="18.75" x14ac:dyDescent="0.15">
      <c r="B205" s="295" t="str">
        <f>"23048"</f>
        <v>23048</v>
      </c>
      <c r="C205" s="295" t="str">
        <f>"A2021/138/MMG/SGG"</f>
        <v>A2021/138/MMG/SGG</v>
      </c>
      <c r="D205" s="296" t="s">
        <v>1926</v>
      </c>
      <c r="E205" s="295" t="s">
        <v>154</v>
      </c>
      <c r="F205" s="295" t="s">
        <v>644</v>
      </c>
      <c r="G205" s="295" t="s">
        <v>1565</v>
      </c>
      <c r="H205" s="295" t="s">
        <v>1565</v>
      </c>
      <c r="I205" s="297">
        <v>44228.474618055552</v>
      </c>
      <c r="J205" s="297">
        <v>44243</v>
      </c>
      <c r="K205" s="297">
        <v>45337</v>
      </c>
      <c r="L205" s="297">
        <v>44138</v>
      </c>
      <c r="M205" s="298" t="s">
        <v>1927</v>
      </c>
      <c r="N205" s="296" t="str">
        <f>"Guinee,Kankan,Siguiri,Kintinian, Maléa"</f>
        <v>Guinee,Kankan,Siguiri,Kintinian, Maléa</v>
      </c>
    </row>
    <row r="206" spans="2:14" ht="18.75" x14ac:dyDescent="0.15">
      <c r="B206" s="295" t="str">
        <f>"22972"</f>
        <v>22972</v>
      </c>
      <c r="C206" s="295" t="str">
        <f>"A2021/137/MMG/SGG"</f>
        <v>A2021/137/MMG/SGG</v>
      </c>
      <c r="D206" s="296" t="s">
        <v>1928</v>
      </c>
      <c r="E206" s="295" t="s">
        <v>154</v>
      </c>
      <c r="F206" s="295" t="s">
        <v>644</v>
      </c>
      <c r="G206" s="295" t="s">
        <v>1565</v>
      </c>
      <c r="H206" s="295" t="s">
        <v>1565</v>
      </c>
      <c r="I206" s="297">
        <v>44060.625625000001</v>
      </c>
      <c r="J206" s="297">
        <v>44243</v>
      </c>
      <c r="K206" s="297">
        <v>45337</v>
      </c>
      <c r="L206" s="297">
        <v>44021</v>
      </c>
      <c r="M206" s="298" t="s">
        <v>1929</v>
      </c>
      <c r="N206" s="296" t="str">
        <f>"Guinee,Kankan,Siguiri,Siguiri-centre"</f>
        <v>Guinee,Kankan,Siguiri,Siguiri-centre</v>
      </c>
    </row>
    <row r="207" spans="2:14" ht="18.75" x14ac:dyDescent="0.15">
      <c r="B207" s="295" t="str">
        <f>"23037"</f>
        <v>23037</v>
      </c>
      <c r="C207" s="295" t="str">
        <f>"A2021/137/MMG/SGG"</f>
        <v>A2021/137/MMG/SGG</v>
      </c>
      <c r="D207" s="296" t="s">
        <v>1928</v>
      </c>
      <c r="E207" s="295" t="s">
        <v>154</v>
      </c>
      <c r="F207" s="295" t="s">
        <v>644</v>
      </c>
      <c r="G207" s="295" t="s">
        <v>1565</v>
      </c>
      <c r="H207" s="295" t="s">
        <v>1565</v>
      </c>
      <c r="I207" s="297">
        <v>44207.491979166669</v>
      </c>
      <c r="J207" s="297">
        <v>44243</v>
      </c>
      <c r="K207" s="297">
        <v>45337</v>
      </c>
      <c r="L207" s="297">
        <v>44183</v>
      </c>
      <c r="M207" s="298" t="s">
        <v>1930</v>
      </c>
      <c r="N207" s="296" t="str">
        <f>"Guinee,Kankan,Siguiri,Doko"</f>
        <v>Guinee,Kankan,Siguiri,Doko</v>
      </c>
    </row>
    <row r="208" spans="2:14" ht="18.75" x14ac:dyDescent="0.15">
      <c r="B208" s="295" t="str">
        <f>"23036"</f>
        <v>23036</v>
      </c>
      <c r="C208" s="295" t="str">
        <f>"A2021/136/MMG/SGG "</f>
        <v xml:space="preserve">A2021/136/MMG/SGG </v>
      </c>
      <c r="D208" s="296" t="s">
        <v>1928</v>
      </c>
      <c r="E208" s="295" t="s">
        <v>154</v>
      </c>
      <c r="F208" s="295" t="s">
        <v>644</v>
      </c>
      <c r="G208" s="295" t="s">
        <v>1565</v>
      </c>
      <c r="H208" s="295" t="s">
        <v>1565</v>
      </c>
      <c r="I208" s="297">
        <v>44207.468726851854</v>
      </c>
      <c r="J208" s="297">
        <v>44243</v>
      </c>
      <c r="K208" s="297">
        <v>45337</v>
      </c>
      <c r="L208" s="297">
        <v>44183</v>
      </c>
      <c r="M208" s="298" t="s">
        <v>1931</v>
      </c>
      <c r="N208" s="296" t="str">
        <f>"Guinee,Kankan,Siguiri,Siguiri-centre"</f>
        <v>Guinee,Kankan,Siguiri,Siguiri-centre</v>
      </c>
    </row>
    <row r="209" spans="2:14" ht="18.75" x14ac:dyDescent="0.15">
      <c r="B209" s="295" t="str">
        <f>"22415"</f>
        <v>22415</v>
      </c>
      <c r="C209" s="295" t="str">
        <f>"A2021/1350/MMG/SGG"</f>
        <v>A2021/1350/MMG/SGG</v>
      </c>
      <c r="D209" s="296" t="s">
        <v>1932</v>
      </c>
      <c r="E209" s="295" t="s">
        <v>154</v>
      </c>
      <c r="F209" s="295" t="s">
        <v>644</v>
      </c>
      <c r="G209" s="295" t="s">
        <v>1565</v>
      </c>
      <c r="H209" s="295" t="s">
        <v>1565</v>
      </c>
      <c r="I209" s="297">
        <v>43305.603252314817</v>
      </c>
      <c r="J209" s="297">
        <v>43322</v>
      </c>
      <c r="K209" s="297">
        <v>45081</v>
      </c>
      <c r="L209" s="297">
        <v>43237</v>
      </c>
      <c r="M209" s="298" t="s">
        <v>1933</v>
      </c>
      <c r="N209" s="296" t="str">
        <f>"Guinee,Kankan,Siguiri,Kintinian, Maléa"</f>
        <v>Guinee,Kankan,Siguiri,Kintinian, Maléa</v>
      </c>
    </row>
    <row r="210" spans="2:14" ht="18.75" x14ac:dyDescent="0.15">
      <c r="B210" s="295" t="str">
        <f>"21153"</f>
        <v>21153</v>
      </c>
      <c r="C210" s="295" t="str">
        <f>"A2021/1349/MMG/SGG"</f>
        <v>A2021/1349/MMG/SGG</v>
      </c>
      <c r="D210" s="296" t="s">
        <v>1934</v>
      </c>
      <c r="E210" s="295" t="s">
        <v>154</v>
      </c>
      <c r="F210" s="295" t="s">
        <v>644</v>
      </c>
      <c r="G210" s="295" t="s">
        <v>1565</v>
      </c>
      <c r="H210" s="295" t="s">
        <v>1565</v>
      </c>
      <c r="I210" s="297">
        <v>42247.382905092592</v>
      </c>
      <c r="J210" s="297">
        <v>42587</v>
      </c>
      <c r="K210" s="297">
        <v>44716</v>
      </c>
      <c r="L210" s="297">
        <v>42221</v>
      </c>
      <c r="M210" s="298" t="s">
        <v>1935</v>
      </c>
      <c r="N210" s="296" t="str">
        <f>"Guinee,Kankan,Siguiri,Siguiri-centre"</f>
        <v>Guinee,Kankan,Siguiri,Siguiri-centre</v>
      </c>
    </row>
    <row r="211" spans="2:14" ht="18.75" x14ac:dyDescent="0.15">
      <c r="B211" s="295" t="str">
        <f>"17901"</f>
        <v>17901</v>
      </c>
      <c r="C211" s="295" t="str">
        <f>"A2021/1348/MMG/SGG"</f>
        <v>A2021/1348/MMG/SGG</v>
      </c>
      <c r="D211" s="296" t="s">
        <v>1934</v>
      </c>
      <c r="E211" s="295" t="s">
        <v>154</v>
      </c>
      <c r="F211" s="295" t="s">
        <v>644</v>
      </c>
      <c r="G211" s="295" t="s">
        <v>1565</v>
      </c>
      <c r="H211" s="295" t="s">
        <v>1565</v>
      </c>
      <c r="I211" s="297">
        <v>41185</v>
      </c>
      <c r="J211" s="297">
        <v>41599</v>
      </c>
      <c r="K211" s="297">
        <v>44716</v>
      </c>
      <c r="L211" s="297">
        <v>41185</v>
      </c>
      <c r="M211" s="298" t="s">
        <v>1936</v>
      </c>
      <c r="N211" s="296" t="str">
        <f>"Guinee,Kankan,Siguiri,Kiniebakoura, Siguiri-centre"</f>
        <v>Guinee,Kankan,Siguiri,Kiniebakoura, Siguiri-centre</v>
      </c>
    </row>
    <row r="212" spans="2:14" ht="18.75" x14ac:dyDescent="0.15">
      <c r="B212" s="295" t="str">
        <f>"23121"</f>
        <v>23121</v>
      </c>
      <c r="C212" s="295" t="str">
        <f>"A2021/1344/MMG/SGG"</f>
        <v>A2021/1344/MMG/SGG</v>
      </c>
      <c r="D212" s="296" t="s">
        <v>1937</v>
      </c>
      <c r="E212" s="295" t="s">
        <v>154</v>
      </c>
      <c r="F212" s="295" t="s">
        <v>644</v>
      </c>
      <c r="G212" s="295" t="s">
        <v>1565</v>
      </c>
      <c r="H212" s="295" t="s">
        <v>1565</v>
      </c>
      <c r="I212" s="297">
        <v>44328.367719907408</v>
      </c>
      <c r="J212" s="297">
        <v>44351</v>
      </c>
      <c r="K212" s="297">
        <v>45446</v>
      </c>
      <c r="L212" s="297">
        <v>44307</v>
      </c>
      <c r="M212" s="298" t="s">
        <v>1938</v>
      </c>
      <c r="N212" s="296" t="str">
        <f>"Guinee,Kankan,Mandiana,Sansando"</f>
        <v>Guinee,Kankan,Mandiana,Sansando</v>
      </c>
    </row>
    <row r="213" spans="2:14" ht="27" x14ac:dyDescent="0.15">
      <c r="B213" s="295" t="str">
        <f>"23128"</f>
        <v>23128</v>
      </c>
      <c r="C213" s="295" t="str">
        <f>"A2021/1339/MMG/SGG"</f>
        <v>A2021/1339/MMG/SGG</v>
      </c>
      <c r="D213" s="296" t="s">
        <v>1593</v>
      </c>
      <c r="E213" s="295" t="s">
        <v>78</v>
      </c>
      <c r="F213" s="295" t="s">
        <v>1755</v>
      </c>
      <c r="G213" s="295" t="s">
        <v>1565</v>
      </c>
      <c r="H213" s="295" t="s">
        <v>1565</v>
      </c>
      <c r="I213" s="297">
        <v>44342.398344907408</v>
      </c>
      <c r="J213" s="297">
        <v>44351</v>
      </c>
      <c r="K213" s="297">
        <v>45080</v>
      </c>
      <c r="L213" s="297">
        <v>44315</v>
      </c>
      <c r="M213" s="298" t="s">
        <v>1939</v>
      </c>
      <c r="N213" s="296" t="str">
        <f>"Guinee,Kindia,Forecariah,Maférinya"</f>
        <v>Guinee,Kindia,Forecariah,Maférinya</v>
      </c>
    </row>
    <row r="214" spans="2:14" ht="18.75" x14ac:dyDescent="0.15">
      <c r="B214" s="295" t="str">
        <f>"8331"</f>
        <v>8331</v>
      </c>
      <c r="C214" s="295" t="str">
        <f>"A2021/1059/MMG/SGG"</f>
        <v>A2021/1059/MMG/SGG</v>
      </c>
      <c r="D214" s="296" t="s">
        <v>1940</v>
      </c>
      <c r="E214" s="295" t="s">
        <v>154</v>
      </c>
      <c r="F214" s="295" t="s">
        <v>644</v>
      </c>
      <c r="G214" s="295" t="s">
        <v>1565</v>
      </c>
      <c r="H214" s="295" t="s">
        <v>1565</v>
      </c>
      <c r="I214" s="297">
        <v>41488.435046296298</v>
      </c>
      <c r="J214" s="297">
        <v>41519</v>
      </c>
      <c r="K214" s="297">
        <v>45062</v>
      </c>
      <c r="L214" s="297">
        <v>41229</v>
      </c>
      <c r="M214" s="298" t="s">
        <v>1941</v>
      </c>
      <c r="N214" s="296" t="str">
        <f>"Guinee,Kankan,Siguiri,Kintinian, Norassoba"</f>
        <v>Guinee,Kankan,Siguiri,Kintinian, Norassoba</v>
      </c>
    </row>
    <row r="215" spans="2:14" x14ac:dyDescent="0.15">
      <c r="B215" s="295" t="str">
        <f>"23034"</f>
        <v>23034</v>
      </c>
      <c r="C215" s="295" t="str">
        <f>"A2021/059/MMG/SGG"</f>
        <v>A2021/059/MMG/SGG</v>
      </c>
      <c r="D215" s="296" t="s">
        <v>1841</v>
      </c>
      <c r="E215" s="295" t="s">
        <v>78</v>
      </c>
      <c r="F215" s="295" t="s">
        <v>1769</v>
      </c>
      <c r="G215" s="295" t="s">
        <v>1565</v>
      </c>
      <c r="H215" s="295" t="s">
        <v>1565</v>
      </c>
      <c r="I215" s="297">
        <v>44202.454525462963</v>
      </c>
      <c r="J215" s="297">
        <v>44223</v>
      </c>
      <c r="K215" s="297">
        <v>44952</v>
      </c>
      <c r="L215" s="297">
        <v>44159</v>
      </c>
      <c r="M215" s="298" t="s">
        <v>1942</v>
      </c>
      <c r="N215" s="296" t="str">
        <f>"Guinee,Kindia,Dubreka,Khorira"</f>
        <v>Guinee,Kindia,Dubreka,Khorira</v>
      </c>
    </row>
    <row r="216" spans="2:14" ht="18.75" x14ac:dyDescent="0.15">
      <c r="B216" s="295" t="str">
        <f>"23042"</f>
        <v>23042</v>
      </c>
      <c r="C216" s="295" t="str">
        <f>"A2021/052/MMG/SGG"</f>
        <v>A2021/052/MMG/SGG</v>
      </c>
      <c r="D216" s="296" t="s">
        <v>1943</v>
      </c>
      <c r="E216" s="295" t="s">
        <v>154</v>
      </c>
      <c r="F216" s="295" t="s">
        <v>644</v>
      </c>
      <c r="G216" s="295" t="s">
        <v>1565</v>
      </c>
      <c r="H216" s="295" t="s">
        <v>1565</v>
      </c>
      <c r="I216" s="297">
        <v>44217.481145833335</v>
      </c>
      <c r="J216" s="297">
        <v>44218</v>
      </c>
      <c r="K216" s="297">
        <v>45312</v>
      </c>
      <c r="L216" s="297">
        <v>44215</v>
      </c>
      <c r="M216" s="298" t="s">
        <v>1944</v>
      </c>
      <c r="N216" s="296" t="str">
        <f>"Guinee,Kankan,Mandiana,Koundian, Sansando"</f>
        <v>Guinee,Kankan,Mandiana,Koundian, Sansando</v>
      </c>
    </row>
    <row r="217" spans="2:14" ht="18.75" x14ac:dyDescent="0.15">
      <c r="B217" s="295" t="str">
        <f>"23043"</f>
        <v>23043</v>
      </c>
      <c r="C217" s="295" t="str">
        <f>"A2021/051/MMG/SGG"</f>
        <v>A2021/051/MMG/SGG</v>
      </c>
      <c r="D217" s="296" t="s">
        <v>1943</v>
      </c>
      <c r="E217" s="295" t="s">
        <v>154</v>
      </c>
      <c r="F217" s="295" t="s">
        <v>644</v>
      </c>
      <c r="G217" s="295" t="s">
        <v>1565</v>
      </c>
      <c r="H217" s="295" t="s">
        <v>1565</v>
      </c>
      <c r="I217" s="297">
        <v>44217.488692129627</v>
      </c>
      <c r="J217" s="297">
        <v>44218</v>
      </c>
      <c r="K217" s="297">
        <v>45312</v>
      </c>
      <c r="L217" s="297">
        <v>44215</v>
      </c>
      <c r="M217" s="298" t="s">
        <v>1945</v>
      </c>
      <c r="N217" s="296" t="str">
        <f>"Guinee,Kankan,Mandiana,Koundian"</f>
        <v>Guinee,Kankan,Mandiana,Koundian</v>
      </c>
    </row>
    <row r="218" spans="2:14" ht="18.75" x14ac:dyDescent="0.15">
      <c r="B218" s="295" t="str">
        <f>"23041"</f>
        <v>23041</v>
      </c>
      <c r="C218" s="295" t="str">
        <f>"A2021/050/MMG/SGG"</f>
        <v>A2021/050/MMG/SGG</v>
      </c>
      <c r="D218" s="296" t="s">
        <v>1943</v>
      </c>
      <c r="E218" s="295" t="s">
        <v>154</v>
      </c>
      <c r="F218" s="295" t="s">
        <v>644</v>
      </c>
      <c r="G218" s="295" t="s">
        <v>1565</v>
      </c>
      <c r="H218" s="295" t="s">
        <v>1565</v>
      </c>
      <c r="I218" s="297">
        <v>44217.457337962966</v>
      </c>
      <c r="J218" s="297">
        <v>44218</v>
      </c>
      <c r="K218" s="297">
        <v>45312</v>
      </c>
      <c r="L218" s="297">
        <v>44215</v>
      </c>
      <c r="M218" s="298" t="s">
        <v>1946</v>
      </c>
      <c r="N218" s="296" t="str">
        <f>"Guinee,Kankan,Mandiana,Faralako, Saladou"</f>
        <v>Guinee,Kankan,Mandiana,Faralako, Saladou</v>
      </c>
    </row>
    <row r="219" spans="2:14" ht="18.75" x14ac:dyDescent="0.15">
      <c r="B219" s="295" t="str">
        <f>"19722"</f>
        <v>19722</v>
      </c>
      <c r="C219" s="295" t="str">
        <f>"A2021/036/MMG/SGG"</f>
        <v>A2021/036/MMG/SGG</v>
      </c>
      <c r="D219" s="296" t="s">
        <v>1672</v>
      </c>
      <c r="E219" s="295" t="s">
        <v>154</v>
      </c>
      <c r="F219" s="295" t="s">
        <v>644</v>
      </c>
      <c r="G219" s="295" t="s">
        <v>1565</v>
      </c>
      <c r="H219" s="295" t="s">
        <v>1565</v>
      </c>
      <c r="I219" s="297">
        <v>42772.583796296298</v>
      </c>
      <c r="J219" s="297">
        <v>42135</v>
      </c>
      <c r="K219" s="297">
        <v>44573</v>
      </c>
      <c r="L219" s="297">
        <v>41617</v>
      </c>
      <c r="M219" s="298" t="s">
        <v>1947</v>
      </c>
      <c r="N219" s="296" t="str">
        <f>"Guinee,Kankan,Mandiana,Kiniéran"</f>
        <v>Guinee,Kankan,Mandiana,Kiniéran</v>
      </c>
    </row>
    <row r="220" spans="2:14" ht="27" x14ac:dyDescent="0.15">
      <c r="B220" s="295" t="str">
        <f>"22263"</f>
        <v>22263</v>
      </c>
      <c r="C220" s="295" t="str">
        <f>"A2021/035/MMG/SGG"</f>
        <v>A2021/035/MMG/SGG</v>
      </c>
      <c r="D220" s="296" t="s">
        <v>153</v>
      </c>
      <c r="E220" s="295" t="s">
        <v>154</v>
      </c>
      <c r="F220" s="295" t="s">
        <v>644</v>
      </c>
      <c r="G220" s="295" t="s">
        <v>1565</v>
      </c>
      <c r="H220" s="295" t="s">
        <v>1678</v>
      </c>
      <c r="I220" s="297">
        <v>43053.511724537035</v>
      </c>
      <c r="J220" s="297">
        <v>43080</v>
      </c>
      <c r="K220" s="297">
        <v>44573</v>
      </c>
      <c r="L220" s="297">
        <v>43027</v>
      </c>
      <c r="M220" s="298" t="s">
        <v>1948</v>
      </c>
      <c r="N220" s="296" t="str">
        <f>"Guinee,Kankan,Kouroussa,Komola-khoura, Sanguiana"</f>
        <v>Guinee,Kankan,Kouroussa,Komola-khoura, Sanguiana</v>
      </c>
    </row>
    <row r="221" spans="2:14" ht="18.75" x14ac:dyDescent="0.15">
      <c r="B221" s="295" t="str">
        <f>"22273"</f>
        <v>22273</v>
      </c>
      <c r="C221" s="295" t="str">
        <f>"A2021/034/MMG/SGG"</f>
        <v>A2021/034/MMG/SGG</v>
      </c>
      <c r="D221" s="296" t="s">
        <v>1949</v>
      </c>
      <c r="E221" s="295" t="s">
        <v>154</v>
      </c>
      <c r="F221" s="295" t="s">
        <v>644</v>
      </c>
      <c r="G221" s="295" t="s">
        <v>1565</v>
      </c>
      <c r="H221" s="295" t="s">
        <v>1873</v>
      </c>
      <c r="I221" s="297">
        <v>43069.521296296298</v>
      </c>
      <c r="J221" s="297">
        <v>43088</v>
      </c>
      <c r="K221" s="297">
        <v>44573</v>
      </c>
      <c r="L221" s="297">
        <v>43068</v>
      </c>
      <c r="M221" s="298" t="s">
        <v>1950</v>
      </c>
      <c r="N221" s="296" t="str">
        <f>"Guinee,Kankan,Siguiri,Doko, Niagassola"</f>
        <v>Guinee,Kankan,Siguiri,Doko, Niagassola</v>
      </c>
    </row>
    <row r="222" spans="2:14" ht="18.75" x14ac:dyDescent="0.15">
      <c r="B222" s="295" t="str">
        <f>"22274"</f>
        <v>22274</v>
      </c>
      <c r="C222" s="295" t="str">
        <f>"A2021/033/MMG/SGG"</f>
        <v>A2021/033/MMG/SGG</v>
      </c>
      <c r="D222" s="296" t="s">
        <v>1949</v>
      </c>
      <c r="E222" s="295" t="s">
        <v>154</v>
      </c>
      <c r="F222" s="295" t="s">
        <v>644</v>
      </c>
      <c r="G222" s="295" t="s">
        <v>1565</v>
      </c>
      <c r="H222" s="295" t="s">
        <v>1873</v>
      </c>
      <c r="I222" s="297">
        <v>43069.532627314817</v>
      </c>
      <c r="J222" s="297">
        <v>43080</v>
      </c>
      <c r="K222" s="297">
        <v>44573</v>
      </c>
      <c r="L222" s="297">
        <v>43068</v>
      </c>
      <c r="M222" s="298" t="s">
        <v>1951</v>
      </c>
      <c r="N222" s="296" t="str">
        <f>"Guinee,Kankan,Siguiri,Doko, Niagassola"</f>
        <v>Guinee,Kankan,Siguiri,Doko, Niagassola</v>
      </c>
    </row>
    <row r="223" spans="2:14" ht="18.75" x14ac:dyDescent="0.15">
      <c r="B223" s="295" t="str">
        <f>"22272"</f>
        <v>22272</v>
      </c>
      <c r="C223" s="295" t="str">
        <f>"A2021/032/MMG/SGG"</f>
        <v>A2021/032/MMG/SGG</v>
      </c>
      <c r="D223" s="296" t="s">
        <v>1949</v>
      </c>
      <c r="E223" s="295" t="s">
        <v>154</v>
      </c>
      <c r="F223" s="295" t="s">
        <v>644</v>
      </c>
      <c r="G223" s="295" t="s">
        <v>1565</v>
      </c>
      <c r="H223" s="295" t="s">
        <v>1873</v>
      </c>
      <c r="I223" s="297">
        <v>43069.468668981484</v>
      </c>
      <c r="J223" s="297">
        <v>43080</v>
      </c>
      <c r="K223" s="297">
        <v>44573</v>
      </c>
      <c r="L223" s="297">
        <v>43068</v>
      </c>
      <c r="M223" s="298" t="s">
        <v>1952</v>
      </c>
      <c r="N223" s="296" t="str">
        <f>"Guinee,Kankan,Siguiri,Niandankoro, Norassoba"</f>
        <v>Guinee,Kankan,Siguiri,Niandankoro, Norassoba</v>
      </c>
    </row>
    <row r="224" spans="2:14" ht="27" x14ac:dyDescent="0.15">
      <c r="B224" s="295" t="str">
        <f>"20191"</f>
        <v>20191</v>
      </c>
      <c r="C224" s="295" t="str">
        <f>"A2021/030/MMG/SGG"</f>
        <v>A2021/030/MMG/SGG</v>
      </c>
      <c r="D224" s="296" t="s">
        <v>1953</v>
      </c>
      <c r="E224" s="295" t="s">
        <v>154</v>
      </c>
      <c r="F224" s="295" t="s">
        <v>644</v>
      </c>
      <c r="G224" s="295" t="s">
        <v>1565</v>
      </c>
      <c r="H224" s="295" t="s">
        <v>1565</v>
      </c>
      <c r="I224" s="297">
        <v>42150.405624999999</v>
      </c>
      <c r="J224" s="297">
        <v>42265</v>
      </c>
      <c r="K224" s="297">
        <v>44938</v>
      </c>
      <c r="L224" s="297">
        <v>42150</v>
      </c>
      <c r="M224" s="298" t="s">
        <v>1954</v>
      </c>
      <c r="N224" s="296" t="str">
        <f>"Guinee,Kankan,Mandiana,Dialokoro, Sansando"</f>
        <v>Guinee,Kankan,Mandiana,Dialokoro, Sansando</v>
      </c>
    </row>
    <row r="225" spans="2:14" x14ac:dyDescent="0.15">
      <c r="B225" s="295" t="str">
        <f>"23028"</f>
        <v>23028</v>
      </c>
      <c r="C225" s="295" t="str">
        <f>"A2021/021/MMG/SGG"</f>
        <v>A2021/021/MMG/SGG</v>
      </c>
      <c r="D225" s="296" t="s">
        <v>1955</v>
      </c>
      <c r="E225" s="295" t="s">
        <v>78</v>
      </c>
      <c r="F225" s="295" t="s">
        <v>1781</v>
      </c>
      <c r="G225" s="295" t="s">
        <v>1565</v>
      </c>
      <c r="H225" s="295" t="s">
        <v>1565</v>
      </c>
      <c r="I225" s="297">
        <v>44189.719039351854</v>
      </c>
      <c r="J225" s="297">
        <v>44208</v>
      </c>
      <c r="K225" s="297">
        <v>44937</v>
      </c>
      <c r="L225" s="297">
        <v>44067</v>
      </c>
      <c r="M225" s="298" t="s">
        <v>1956</v>
      </c>
      <c r="N225" s="296" t="str">
        <f>"Guinee,Labe,Labe,Kaalan"</f>
        <v>Guinee,Labe,Labe,Kaalan</v>
      </c>
    </row>
    <row r="226" spans="2:14" ht="27" x14ac:dyDescent="0.15">
      <c r="B226" s="295" t="str">
        <f>"23032"</f>
        <v>23032</v>
      </c>
      <c r="C226" s="295" t="str">
        <f>"A2021/020/MMG/SGG"</f>
        <v>A2021/020/MMG/SGG</v>
      </c>
      <c r="D226" s="296" t="s">
        <v>1957</v>
      </c>
      <c r="E226" s="295" t="s">
        <v>254</v>
      </c>
      <c r="F226" s="295" t="s">
        <v>1568</v>
      </c>
      <c r="G226" s="295" t="s">
        <v>1565</v>
      </c>
      <c r="H226" s="295" t="s">
        <v>1565</v>
      </c>
      <c r="I226" s="297">
        <v>44200.701319444444</v>
      </c>
      <c r="J226" s="297">
        <v>44208</v>
      </c>
      <c r="K226" s="297">
        <v>45302</v>
      </c>
      <c r="L226" s="297">
        <v>44195</v>
      </c>
      <c r="M226" s="298" t="s">
        <v>1958</v>
      </c>
      <c r="N226" s="296" t="str">
        <f>"Guinee,Labe,Labe,Daralabé, Garambé, Hafia, Noussy; Mamou,Dalaba,Mombéyah"</f>
        <v>Guinee,Labe,Labe,Daralabé, Garambé, Hafia, Noussy; Mamou,Dalaba,Mombéyah</v>
      </c>
    </row>
    <row r="227" spans="2:14" ht="18.75" x14ac:dyDescent="0.15">
      <c r="B227" s="295" t="str">
        <f>"23029"</f>
        <v>23029</v>
      </c>
      <c r="C227" s="295" t="str">
        <f>"A2021/005/MMG/DNM"</f>
        <v>A2021/005/MMG/DNM</v>
      </c>
      <c r="D227" s="296" t="s">
        <v>1751</v>
      </c>
      <c r="E227" s="295" t="s">
        <v>85</v>
      </c>
      <c r="F227" s="295" t="s">
        <v>644</v>
      </c>
      <c r="G227" s="295" t="s">
        <v>1565</v>
      </c>
      <c r="H227" s="295" t="s">
        <v>1565</v>
      </c>
      <c r="I227" s="297">
        <v>44195.677824074075</v>
      </c>
      <c r="J227" s="297">
        <v>44201</v>
      </c>
      <c r="K227" s="297">
        <v>44381</v>
      </c>
      <c r="L227" s="297">
        <v>44187</v>
      </c>
      <c r="M227" s="298" t="s">
        <v>1959</v>
      </c>
      <c r="N227" s="296" t="str">
        <f>"Guinee,Kankan,Siguiri,Maléa, Siguirini"</f>
        <v>Guinee,Kankan,Siguiri,Maléa, Siguirini</v>
      </c>
    </row>
    <row r="228" spans="2:14" ht="18.75" x14ac:dyDescent="0.15">
      <c r="B228" s="295" t="str">
        <f>"23030"</f>
        <v>23030</v>
      </c>
      <c r="C228" s="295" t="str">
        <f>"A2021/003/MMG/DNM"</f>
        <v>A2021/003/MMG/DNM</v>
      </c>
      <c r="D228" s="296" t="s">
        <v>1751</v>
      </c>
      <c r="E228" s="295" t="s">
        <v>85</v>
      </c>
      <c r="F228" s="295" t="s">
        <v>644</v>
      </c>
      <c r="G228" s="295" t="s">
        <v>1565</v>
      </c>
      <c r="H228" s="295" t="s">
        <v>1565</v>
      </c>
      <c r="I228" s="297">
        <v>44195.690717592595</v>
      </c>
      <c r="J228" s="297">
        <v>44201</v>
      </c>
      <c r="K228" s="297">
        <v>44381</v>
      </c>
      <c r="L228" s="297">
        <v>44187</v>
      </c>
      <c r="M228" s="298" t="s">
        <v>1960</v>
      </c>
      <c r="N228" s="296" t="str">
        <f>"Guinee,Faranah,Dinguiraye,Banora; Kankan,Siguiri,Siguirini"</f>
        <v>Guinee,Faranah,Dinguiraye,Banora; Kankan,Siguiri,Siguirini</v>
      </c>
    </row>
    <row r="229" spans="2:14" ht="27" x14ac:dyDescent="0.15">
      <c r="B229" s="295" t="str">
        <f>"22818"</f>
        <v>22818</v>
      </c>
      <c r="C229" s="295" t="str">
        <f>"A2020/476/MMG/SGG"</f>
        <v>A2020/476/MMG/SGG</v>
      </c>
      <c r="D229" s="296" t="s">
        <v>1961</v>
      </c>
      <c r="E229" s="295" t="s">
        <v>154</v>
      </c>
      <c r="F229" s="295" t="s">
        <v>644</v>
      </c>
      <c r="G229" s="295" t="s">
        <v>1565</v>
      </c>
      <c r="H229" s="295" t="s">
        <v>1565</v>
      </c>
      <c r="I229" s="297">
        <v>43844.520324074074</v>
      </c>
      <c r="J229" s="297">
        <v>43878</v>
      </c>
      <c r="K229" s="297">
        <v>44973</v>
      </c>
      <c r="L229" s="297">
        <v>43812</v>
      </c>
      <c r="M229" s="298" t="s">
        <v>1962</v>
      </c>
      <c r="N229" s="296" t="str">
        <f>"Guinee,Kankan,Kouroussa,Balato, Koumana"</f>
        <v>Guinee,Kankan,Kouroussa,Balato, Koumana</v>
      </c>
    </row>
    <row r="230" spans="2:14" ht="18.75" x14ac:dyDescent="0.15">
      <c r="B230" s="295" t="str">
        <f>"22036"</f>
        <v>22036</v>
      </c>
      <c r="C230" s="295" t="str">
        <f>"A2020/475/MMG/SGG"</f>
        <v>A2020/475/MMG/SGG</v>
      </c>
      <c r="D230" s="296" t="s">
        <v>1963</v>
      </c>
      <c r="E230" s="295" t="s">
        <v>154</v>
      </c>
      <c r="F230" s="295" t="s">
        <v>644</v>
      </c>
      <c r="G230" s="295" t="s">
        <v>1565</v>
      </c>
      <c r="H230" s="295" t="s">
        <v>1565</v>
      </c>
      <c r="I230" s="297">
        <v>42692.467326388891</v>
      </c>
      <c r="J230" s="297">
        <v>42713</v>
      </c>
      <c r="K230" s="297">
        <v>44609</v>
      </c>
      <c r="L230" s="297">
        <v>42678</v>
      </c>
      <c r="M230" s="298" t="s">
        <v>1964</v>
      </c>
      <c r="N230" s="296" t="str">
        <f>"Guinee,Kankan,Kouroussa,Doura, Koumana"</f>
        <v>Guinee,Kankan,Kouroussa,Doura, Koumana</v>
      </c>
    </row>
    <row r="231" spans="2:14" x14ac:dyDescent="0.15">
      <c r="B231" s="295" t="str">
        <f>"23026"</f>
        <v>23026</v>
      </c>
      <c r="C231" s="295" t="str">
        <f>"A2020/3475/MMG/SGG"</f>
        <v>A2020/3475/MMG/SGG</v>
      </c>
      <c r="D231" s="296" t="s">
        <v>1965</v>
      </c>
      <c r="E231" s="295" t="s">
        <v>78</v>
      </c>
      <c r="F231" s="295" t="s">
        <v>1769</v>
      </c>
      <c r="G231" s="295" t="s">
        <v>1565</v>
      </c>
      <c r="H231" s="295" t="s">
        <v>1565</v>
      </c>
      <c r="I231" s="297">
        <v>44181.586527777778</v>
      </c>
      <c r="J231" s="297">
        <v>44194</v>
      </c>
      <c r="K231" s="297">
        <v>44923</v>
      </c>
      <c r="L231" s="297">
        <v>44047</v>
      </c>
      <c r="M231" s="298" t="s">
        <v>1966</v>
      </c>
      <c r="N231" s="296" t="str">
        <f>"Guinee,Mamou,Mamou,Kounkouré"</f>
        <v>Guinee,Mamou,Mamou,Kounkouré</v>
      </c>
    </row>
    <row r="232" spans="2:14" ht="18.75" x14ac:dyDescent="0.15">
      <c r="B232" s="295" t="str">
        <f>"22293"</f>
        <v>22293</v>
      </c>
      <c r="C232" s="295" t="str">
        <f>"A2020/3471/MMG/SGG"</f>
        <v>A2020/3471/MMG/SGG</v>
      </c>
      <c r="D232" s="296" t="s">
        <v>1913</v>
      </c>
      <c r="E232" s="295" t="s">
        <v>254</v>
      </c>
      <c r="F232" s="295" t="s">
        <v>1568</v>
      </c>
      <c r="G232" s="295" t="s">
        <v>1565</v>
      </c>
      <c r="H232" s="295" t="s">
        <v>1565</v>
      </c>
      <c r="I232" s="297">
        <v>43108.507199074076</v>
      </c>
      <c r="J232" s="297">
        <v>43123</v>
      </c>
      <c r="K232" s="297">
        <v>44924</v>
      </c>
      <c r="L232" s="297">
        <v>43105</v>
      </c>
      <c r="M232" s="298" t="s">
        <v>1967</v>
      </c>
      <c r="N232" s="296" t="str">
        <f>"Guinee,Boke,Gaoual,Kakony; Labe,Lelouma,Balaya, Sagalé"</f>
        <v>Guinee,Boke,Gaoual,Kakony; Labe,Lelouma,Balaya, Sagalé</v>
      </c>
    </row>
    <row r="233" spans="2:14" ht="27" x14ac:dyDescent="0.15">
      <c r="B233" s="295" t="str">
        <f>"22294"</f>
        <v>22294</v>
      </c>
      <c r="C233" s="295" t="str">
        <f>"A2020/3470/MMG/SGG"</f>
        <v>A2020/3470/MMG/SGG</v>
      </c>
      <c r="D233" s="296" t="s">
        <v>1913</v>
      </c>
      <c r="E233" s="295" t="s">
        <v>254</v>
      </c>
      <c r="F233" s="295" t="s">
        <v>1568</v>
      </c>
      <c r="G233" s="295" t="s">
        <v>1565</v>
      </c>
      <c r="H233" s="295" t="s">
        <v>1565</v>
      </c>
      <c r="I233" s="297">
        <v>43108.524386574078</v>
      </c>
      <c r="J233" s="297">
        <v>43123</v>
      </c>
      <c r="K233" s="297">
        <v>44924</v>
      </c>
      <c r="L233" s="297">
        <v>43105</v>
      </c>
      <c r="M233" s="298" t="s">
        <v>1968</v>
      </c>
      <c r="N233" s="296" t="str">
        <f>"Guinee,Mamou,Pita,Donghol-Touma, Ninguélandé, Timbi-Madina, Timbi-Touni"</f>
        <v>Guinee,Mamou,Pita,Donghol-Touma, Ninguélandé, Timbi-Madina, Timbi-Touni</v>
      </c>
    </row>
    <row r="234" spans="2:14" ht="18.75" x14ac:dyDescent="0.15">
      <c r="B234" s="295" t="str">
        <f>"22280"</f>
        <v>22280</v>
      </c>
      <c r="C234" s="295" t="str">
        <f>"A2020/3469/MMG/SGG"</f>
        <v>A2020/3469/MMG/SGG</v>
      </c>
      <c r="D234" s="296" t="s">
        <v>1913</v>
      </c>
      <c r="E234" s="295" t="s">
        <v>254</v>
      </c>
      <c r="F234" s="295" t="s">
        <v>1568</v>
      </c>
      <c r="G234" s="295" t="s">
        <v>1565</v>
      </c>
      <c r="H234" s="295" t="s">
        <v>1565</v>
      </c>
      <c r="I234" s="297">
        <v>43077.559027777781</v>
      </c>
      <c r="J234" s="297">
        <v>43088</v>
      </c>
      <c r="K234" s="297">
        <v>44924</v>
      </c>
      <c r="L234" s="297">
        <v>43063</v>
      </c>
      <c r="M234" s="298" t="s">
        <v>1969</v>
      </c>
      <c r="N234" s="296" t="str">
        <f>"Guinee,Kindia,Telimele,Bourouwal; Labe,Lelouma,Hérico"</f>
        <v>Guinee,Kindia,Telimele,Bourouwal; Labe,Lelouma,Hérico</v>
      </c>
    </row>
    <row r="235" spans="2:14" ht="18.75" x14ac:dyDescent="0.15">
      <c r="B235" s="295" t="str">
        <f>"22156"</f>
        <v>22156</v>
      </c>
      <c r="C235" s="295" t="str">
        <f>"A2020/3468/MMG/SGG"</f>
        <v>A2020/3468/MMG/SGG</v>
      </c>
      <c r="D235" s="296" t="s">
        <v>1970</v>
      </c>
      <c r="E235" s="295" t="s">
        <v>154</v>
      </c>
      <c r="F235" s="295" t="s">
        <v>644</v>
      </c>
      <c r="G235" s="295" t="s">
        <v>1565</v>
      </c>
      <c r="H235" s="295" t="s">
        <v>1565</v>
      </c>
      <c r="I235" s="297">
        <v>42906.58457175926</v>
      </c>
      <c r="J235" s="297">
        <v>42935</v>
      </c>
      <c r="K235" s="297">
        <v>44559</v>
      </c>
      <c r="L235" s="297">
        <v>42902</v>
      </c>
      <c r="M235" s="298" t="s">
        <v>1971</v>
      </c>
      <c r="N235" s="296" t="str">
        <f>"Guinee,Kankan,Kouroussa,Komola-khoura; Siguiri,Norassoba"</f>
        <v>Guinee,Kankan,Kouroussa,Komola-khoura; Siguiri,Norassoba</v>
      </c>
    </row>
    <row r="236" spans="2:14" ht="18.75" x14ac:dyDescent="0.15">
      <c r="B236" s="295" t="str">
        <f>"23024"</f>
        <v>23024</v>
      </c>
      <c r="C236" s="295" t="str">
        <f>"A2020/3309/MMG/SGG"</f>
        <v>A2020/3309/MMG/SGG</v>
      </c>
      <c r="D236" s="296" t="s">
        <v>1972</v>
      </c>
      <c r="E236" s="295" t="s">
        <v>154</v>
      </c>
      <c r="F236" s="295" t="s">
        <v>644</v>
      </c>
      <c r="G236" s="295" t="s">
        <v>1565</v>
      </c>
      <c r="H236" s="295" t="s">
        <v>1565</v>
      </c>
      <c r="I236" s="297">
        <v>44173.654641203706</v>
      </c>
      <c r="J236" s="297">
        <v>44181</v>
      </c>
      <c r="K236" s="297">
        <v>45275</v>
      </c>
      <c r="L236" s="297">
        <v>44158</v>
      </c>
      <c r="M236" s="298" t="s">
        <v>1973</v>
      </c>
      <c r="N236" s="296" t="str">
        <f>"Guinee,Kankan,Mandiana,Faralako, Niantanina"</f>
        <v>Guinee,Kankan,Mandiana,Faralako, Niantanina</v>
      </c>
    </row>
    <row r="237" spans="2:14" ht="18.75" x14ac:dyDescent="0.15">
      <c r="B237" s="295" t="str">
        <f>"23017"</f>
        <v>23017</v>
      </c>
      <c r="C237" s="295" t="str">
        <f>"A2020/3308/MMG/SGG"</f>
        <v>A2020/3308/MMG/SGG</v>
      </c>
      <c r="D237" s="296" t="s">
        <v>1798</v>
      </c>
      <c r="E237" s="295" t="s">
        <v>154</v>
      </c>
      <c r="F237" s="295" t="s">
        <v>644</v>
      </c>
      <c r="G237" s="295" t="s">
        <v>1565</v>
      </c>
      <c r="H237" s="295" t="s">
        <v>1565</v>
      </c>
      <c r="I237" s="297">
        <v>44167.419328703705</v>
      </c>
      <c r="J237" s="297">
        <v>44181</v>
      </c>
      <c r="K237" s="297">
        <v>45275</v>
      </c>
      <c r="L237" s="297">
        <v>44112</v>
      </c>
      <c r="M237" s="298" t="s">
        <v>1974</v>
      </c>
      <c r="N237" s="296" t="str">
        <f>"Guinee,Kankan,Kerouane,Komodou"</f>
        <v>Guinee,Kankan,Kerouane,Komodou</v>
      </c>
    </row>
    <row r="238" spans="2:14" ht="18.75" x14ac:dyDescent="0.15">
      <c r="B238" s="295" t="str">
        <f>"23018"</f>
        <v>23018</v>
      </c>
      <c r="C238" s="295" t="str">
        <f>"A2020/3307/MMG/SGG"</f>
        <v>A2020/3307/MMG/SGG</v>
      </c>
      <c r="D238" s="296" t="s">
        <v>1798</v>
      </c>
      <c r="E238" s="295" t="s">
        <v>154</v>
      </c>
      <c r="F238" s="295" t="s">
        <v>644</v>
      </c>
      <c r="G238" s="295" t="s">
        <v>1565</v>
      </c>
      <c r="H238" s="295" t="s">
        <v>1565</v>
      </c>
      <c r="I238" s="297">
        <v>44167.482071759259</v>
      </c>
      <c r="J238" s="297">
        <v>44181</v>
      </c>
      <c r="K238" s="297">
        <v>45275</v>
      </c>
      <c r="L238" s="297">
        <v>44112</v>
      </c>
      <c r="M238" s="298" t="s">
        <v>1975</v>
      </c>
      <c r="N238" s="296" t="str">
        <f>"Guinee,N'Zerekore,Beyla,Fouala, Moussadou, Sinko"</f>
        <v>Guinee,N'Zerekore,Beyla,Fouala, Moussadou, Sinko</v>
      </c>
    </row>
    <row r="239" spans="2:14" ht="18.75" x14ac:dyDescent="0.15">
      <c r="B239" s="295" t="str">
        <f>"23021"</f>
        <v>23021</v>
      </c>
      <c r="C239" s="295" t="str">
        <f>"A2020/3306/MMG/SGG"</f>
        <v>A2020/3306/MMG/SGG</v>
      </c>
      <c r="D239" s="296" t="s">
        <v>1976</v>
      </c>
      <c r="E239" s="295" t="s">
        <v>1794</v>
      </c>
      <c r="F239" s="295" t="s">
        <v>1594</v>
      </c>
      <c r="G239" s="295" t="s">
        <v>1565</v>
      </c>
      <c r="H239" s="295" t="s">
        <v>1565</v>
      </c>
      <c r="I239" s="297">
        <v>44168.641435185185</v>
      </c>
      <c r="J239" s="297">
        <v>44181</v>
      </c>
      <c r="K239" s="297">
        <v>45275</v>
      </c>
      <c r="L239" s="297">
        <v>44167</v>
      </c>
      <c r="M239" s="298" t="s">
        <v>1977</v>
      </c>
      <c r="N239" s="296" t="str">
        <f>"Guinee,Kankan,Kerouane,Kérouané-centre, Komodou, Konsankoro"</f>
        <v>Guinee,Kankan,Kerouane,Kérouané-centre, Komodou, Konsankoro</v>
      </c>
    </row>
    <row r="240" spans="2:14" ht="27" x14ac:dyDescent="0.15">
      <c r="B240" s="295" t="str">
        <f>"23023"</f>
        <v>23023</v>
      </c>
      <c r="C240" s="295" t="str">
        <f>"A2020/3305/MMG/SGG"</f>
        <v>A2020/3305/MMG/SGG</v>
      </c>
      <c r="D240" s="296" t="s">
        <v>1978</v>
      </c>
      <c r="E240" s="295" t="s">
        <v>254</v>
      </c>
      <c r="F240" s="295" t="s">
        <v>1568</v>
      </c>
      <c r="G240" s="295" t="s">
        <v>1565</v>
      </c>
      <c r="H240" s="295" t="s">
        <v>1565</v>
      </c>
      <c r="I240" s="297">
        <v>44173.538888888892</v>
      </c>
      <c r="J240" s="297">
        <v>44181</v>
      </c>
      <c r="K240" s="297">
        <v>45275</v>
      </c>
      <c r="L240" s="297">
        <v>44152</v>
      </c>
      <c r="M240" s="298" t="s">
        <v>1979</v>
      </c>
      <c r="N240" s="296" t="str">
        <f>"Guinee,Kindia,Dubreka,Badi, Faléssadé, Khorira, Ouassou, Tanéné, Tondon"</f>
        <v>Guinee,Kindia,Dubreka,Badi, Faléssadé, Khorira, Ouassou, Tanéné, Tondon</v>
      </c>
    </row>
    <row r="241" spans="2:14" x14ac:dyDescent="0.15">
      <c r="B241" s="295" t="str">
        <f>"23016"</f>
        <v>23016</v>
      </c>
      <c r="C241" s="295" t="str">
        <f>"A2020/3304/MMG/SGG"</f>
        <v>A2020/3304/MMG/SGG</v>
      </c>
      <c r="D241" s="296" t="s">
        <v>1980</v>
      </c>
      <c r="E241" s="295" t="s">
        <v>78</v>
      </c>
      <c r="F241" s="295" t="s">
        <v>1769</v>
      </c>
      <c r="G241" s="295" t="s">
        <v>1565</v>
      </c>
      <c r="H241" s="295" t="s">
        <v>1565</v>
      </c>
      <c r="I241" s="297">
        <v>44162.638495370367</v>
      </c>
      <c r="J241" s="297">
        <v>44181</v>
      </c>
      <c r="K241" s="297">
        <v>44910</v>
      </c>
      <c r="L241" s="297">
        <v>44146</v>
      </c>
      <c r="M241" s="298" t="s">
        <v>1981</v>
      </c>
      <c r="N241" s="296" t="str">
        <f>"Guinee,Kindia,Dubreka,Khorira"</f>
        <v>Guinee,Kindia,Dubreka,Khorira</v>
      </c>
    </row>
    <row r="242" spans="2:14" ht="18.75" x14ac:dyDescent="0.15">
      <c r="B242" s="295" t="str">
        <f>"19085"</f>
        <v>19085</v>
      </c>
      <c r="C242" s="295" t="str">
        <f>"A2020/3223/MMG/SGG"</f>
        <v>A2020/3223/MMG/SGG</v>
      </c>
      <c r="D242" s="296" t="s">
        <v>1982</v>
      </c>
      <c r="E242" s="295" t="s">
        <v>154</v>
      </c>
      <c r="F242" s="295" t="s">
        <v>644</v>
      </c>
      <c r="G242" s="295" t="s">
        <v>1565</v>
      </c>
      <c r="H242" s="295" t="s">
        <v>1873</v>
      </c>
      <c r="I242" s="297">
        <v>43396.611759259256</v>
      </c>
      <c r="J242" s="297">
        <v>42366</v>
      </c>
      <c r="K242" s="297">
        <v>45268</v>
      </c>
      <c r="L242" s="297">
        <v>42044</v>
      </c>
      <c r="M242" s="298" t="s">
        <v>1983</v>
      </c>
      <c r="N242" s="296" t="str">
        <f>"Guinee,Kankan,Siguiri,Maléa"</f>
        <v>Guinee,Kankan,Siguiri,Maléa</v>
      </c>
    </row>
    <row r="243" spans="2:14" ht="27" x14ac:dyDescent="0.15">
      <c r="B243" s="295" t="str">
        <f>"22171"</f>
        <v>22171</v>
      </c>
      <c r="C243" s="295" t="str">
        <f>"A2020/3222/MMG/SGG"</f>
        <v>A2020/3222/MMG/SGG</v>
      </c>
      <c r="D243" s="296" t="s">
        <v>1984</v>
      </c>
      <c r="E243" s="295" t="s">
        <v>154</v>
      </c>
      <c r="F243" s="295" t="s">
        <v>644</v>
      </c>
      <c r="G243" s="295" t="s">
        <v>1565</v>
      </c>
      <c r="H243" s="295" t="s">
        <v>1565</v>
      </c>
      <c r="I243" s="297">
        <v>42921.627557870372</v>
      </c>
      <c r="J243" s="297">
        <v>42941</v>
      </c>
      <c r="K243" s="297">
        <v>44903</v>
      </c>
      <c r="L243" s="297">
        <v>42899</v>
      </c>
      <c r="M243" s="298" t="s">
        <v>1985</v>
      </c>
      <c r="N243" s="296" t="str">
        <f>"Guinee,Faranah,Dinguiraye,Banora"</f>
        <v>Guinee,Faranah,Dinguiraye,Banora</v>
      </c>
    </row>
    <row r="244" spans="2:14" ht="18.75" x14ac:dyDescent="0.15">
      <c r="B244" s="295" t="str">
        <f>"23013"</f>
        <v>23013</v>
      </c>
      <c r="C244" s="295" t="str">
        <f>"A2020/3163/MMG/SGG"</f>
        <v>A2020/3163/MMG/SGG</v>
      </c>
      <c r="D244" s="296" t="s">
        <v>1986</v>
      </c>
      <c r="E244" s="295" t="s">
        <v>1794</v>
      </c>
      <c r="F244" s="295" t="s">
        <v>1594</v>
      </c>
      <c r="G244" s="295" t="s">
        <v>1565</v>
      </c>
      <c r="H244" s="295" t="s">
        <v>1565</v>
      </c>
      <c r="I244" s="297">
        <v>44154.44091435185</v>
      </c>
      <c r="J244" s="297">
        <v>44167</v>
      </c>
      <c r="K244" s="297">
        <v>45261</v>
      </c>
      <c r="L244" s="297">
        <v>44121</v>
      </c>
      <c r="M244" s="298" t="s">
        <v>1987</v>
      </c>
      <c r="N244" s="296" t="str">
        <f>"Guinee,Kindia,Forecariah,Benty, Farmoriah"</f>
        <v>Guinee,Kindia,Forecariah,Benty, Farmoriah</v>
      </c>
    </row>
    <row r="245" spans="2:14" ht="18.75" x14ac:dyDescent="0.15">
      <c r="B245" s="295" t="str">
        <f>"23012"</f>
        <v>23012</v>
      </c>
      <c r="C245" s="295" t="str">
        <f>"A2020/3162/MMG/SGG"</f>
        <v>A2020/3162/MMG/SGG</v>
      </c>
      <c r="D245" s="296" t="s">
        <v>1986</v>
      </c>
      <c r="E245" s="295" t="s">
        <v>1794</v>
      </c>
      <c r="F245" s="295" t="s">
        <v>1594</v>
      </c>
      <c r="G245" s="295" t="s">
        <v>1565</v>
      </c>
      <c r="H245" s="295" t="s">
        <v>1565</v>
      </c>
      <c r="I245" s="297">
        <v>44154.414768518516</v>
      </c>
      <c r="J245" s="297">
        <v>44167</v>
      </c>
      <c r="K245" s="297">
        <v>45261</v>
      </c>
      <c r="L245" s="297">
        <v>44074</v>
      </c>
      <c r="M245" s="298" t="s">
        <v>1988</v>
      </c>
      <c r="N245" s="296" t="str">
        <f>"Guinee,Kindia,Forecariah,Allassoyah, Farmoriah, Forécariah, Kaliah"</f>
        <v>Guinee,Kindia,Forecariah,Allassoyah, Farmoriah, Forécariah, Kaliah</v>
      </c>
    </row>
    <row r="246" spans="2:14" ht="18.75" x14ac:dyDescent="0.15">
      <c r="B246" s="295" t="str">
        <f>"23014"</f>
        <v>23014</v>
      </c>
      <c r="C246" s="295" t="str">
        <f>"A2020/3161/MMG/SGG"</f>
        <v>A2020/3161/MMG/SGG</v>
      </c>
      <c r="D246" s="296" t="s">
        <v>1751</v>
      </c>
      <c r="E246" s="295" t="s">
        <v>154</v>
      </c>
      <c r="F246" s="295" t="s">
        <v>644</v>
      </c>
      <c r="G246" s="295" t="s">
        <v>1565</v>
      </c>
      <c r="H246" s="295" t="s">
        <v>1565</v>
      </c>
      <c r="I246" s="297">
        <v>44154.630185185182</v>
      </c>
      <c r="J246" s="297">
        <v>44167</v>
      </c>
      <c r="K246" s="297">
        <v>45261</v>
      </c>
      <c r="L246" s="297">
        <v>44152</v>
      </c>
      <c r="M246" s="298" t="s">
        <v>1989</v>
      </c>
      <c r="N246" s="296" t="str">
        <f>"Guinee,Kankan,Siguiri,Maléa"</f>
        <v>Guinee,Kankan,Siguiri,Maléa</v>
      </c>
    </row>
    <row r="247" spans="2:14" x14ac:dyDescent="0.15">
      <c r="B247" s="295" t="str">
        <f>"23009"</f>
        <v>23009</v>
      </c>
      <c r="C247" s="295" t="str">
        <f>"A2020/3160/MMG/SGG"</f>
        <v>A2020/3160/MMG/SGG</v>
      </c>
      <c r="D247" s="296" t="s">
        <v>434</v>
      </c>
      <c r="E247" s="295" t="s">
        <v>78</v>
      </c>
      <c r="F247" s="295" t="s">
        <v>1769</v>
      </c>
      <c r="G247" s="295" t="s">
        <v>1565</v>
      </c>
      <c r="H247" s="295" t="s">
        <v>1565</v>
      </c>
      <c r="I247" s="297">
        <v>44147.49559027778</v>
      </c>
      <c r="J247" s="297">
        <v>44167</v>
      </c>
      <c r="K247" s="297">
        <v>44896</v>
      </c>
      <c r="L247" s="297">
        <v>44112</v>
      </c>
      <c r="M247" s="298" t="s">
        <v>1990</v>
      </c>
      <c r="N247" s="296" t="str">
        <f>"Guinee,Kindia,Dubreka,Khorira"</f>
        <v>Guinee,Kindia,Dubreka,Khorira</v>
      </c>
    </row>
    <row r="248" spans="2:14" ht="27" x14ac:dyDescent="0.15">
      <c r="B248" s="295" t="str">
        <f>"22271"</f>
        <v>22271</v>
      </c>
      <c r="C248" s="295" t="str">
        <f>"A2020/3063/MMG/SGG"</f>
        <v>A2020/3063/MMG/SGG</v>
      </c>
      <c r="D248" s="296" t="s">
        <v>1991</v>
      </c>
      <c r="E248" s="295" t="s">
        <v>154</v>
      </c>
      <c r="F248" s="295" t="s">
        <v>644</v>
      </c>
      <c r="G248" s="295" t="s">
        <v>1565</v>
      </c>
      <c r="H248" s="295" t="s">
        <v>1678</v>
      </c>
      <c r="I248" s="297">
        <v>43062.689386574071</v>
      </c>
      <c r="J248" s="297">
        <v>43080</v>
      </c>
      <c r="K248" s="297">
        <v>44524</v>
      </c>
      <c r="L248" s="297">
        <v>43018</v>
      </c>
      <c r="M248" s="298" t="s">
        <v>1992</v>
      </c>
      <c r="N248" s="296" t="str">
        <f>"Guinee,Kankan,Siguiri,Franwalia, Niagassola"</f>
        <v>Guinee,Kankan,Siguiri,Franwalia, Niagassola</v>
      </c>
    </row>
    <row r="249" spans="2:14" ht="27" x14ac:dyDescent="0.15">
      <c r="B249" s="295" t="str">
        <f>"22270"</f>
        <v>22270</v>
      </c>
      <c r="C249" s="295" t="str">
        <f>"A2020/3062/MMG/SGG"</f>
        <v>A2020/3062/MMG/SGG</v>
      </c>
      <c r="D249" s="296" t="s">
        <v>1991</v>
      </c>
      <c r="E249" s="295" t="s">
        <v>154</v>
      </c>
      <c r="F249" s="295" t="s">
        <v>644</v>
      </c>
      <c r="G249" s="295" t="s">
        <v>1565</v>
      </c>
      <c r="H249" s="295" t="s">
        <v>1678</v>
      </c>
      <c r="I249" s="297">
        <v>43062.668333333335</v>
      </c>
      <c r="J249" s="297">
        <v>43080</v>
      </c>
      <c r="K249" s="297">
        <v>44524</v>
      </c>
      <c r="L249" s="297">
        <v>43018</v>
      </c>
      <c r="M249" s="298" t="s">
        <v>1993</v>
      </c>
      <c r="N249" s="296" t="str">
        <f>"Guinee,Kankan,Siguiri,Niagassola"</f>
        <v>Guinee,Kankan,Siguiri,Niagassola</v>
      </c>
    </row>
    <row r="250" spans="2:14" ht="18.75" x14ac:dyDescent="0.15">
      <c r="B250" s="295" t="str">
        <f>"22230"</f>
        <v>22230</v>
      </c>
      <c r="C250" s="295" t="str">
        <f>"A2020/3061/MMG/SGG"</f>
        <v>A2020/3061/MMG/SGG</v>
      </c>
      <c r="D250" s="296" t="s">
        <v>1994</v>
      </c>
      <c r="E250" s="295" t="s">
        <v>154</v>
      </c>
      <c r="F250" s="295" t="s">
        <v>644</v>
      </c>
      <c r="G250" s="295" t="s">
        <v>1565</v>
      </c>
      <c r="H250" s="295" t="s">
        <v>1565</v>
      </c>
      <c r="I250" s="297">
        <v>43014.65792824074</v>
      </c>
      <c r="J250" s="297">
        <v>43027</v>
      </c>
      <c r="K250" s="297">
        <v>44889</v>
      </c>
      <c r="L250" s="297">
        <v>42968</v>
      </c>
      <c r="M250" s="298" t="s">
        <v>1995</v>
      </c>
      <c r="N250" s="296" t="str">
        <f>"Guinee,Kankan,Kouroussa,Babila"</f>
        <v>Guinee,Kankan,Kouroussa,Babila</v>
      </c>
    </row>
    <row r="251" spans="2:14" ht="18.75" x14ac:dyDescent="0.15">
      <c r="B251" s="295" t="str">
        <f>"22237"</f>
        <v>22237</v>
      </c>
      <c r="C251" s="295" t="str">
        <f>"A2020/3060/MMG/SGG"</f>
        <v>A2020/3060/MMG/SGG</v>
      </c>
      <c r="D251" s="296" t="s">
        <v>1996</v>
      </c>
      <c r="E251" s="295" t="s">
        <v>154</v>
      </c>
      <c r="F251" s="295" t="s">
        <v>644</v>
      </c>
      <c r="G251" s="295" t="s">
        <v>1565</v>
      </c>
      <c r="H251" s="295" t="s">
        <v>1565</v>
      </c>
      <c r="I251" s="297">
        <v>43026.448171296295</v>
      </c>
      <c r="J251" s="297">
        <v>43042</v>
      </c>
      <c r="K251" s="297">
        <v>44889</v>
      </c>
      <c r="L251" s="297">
        <v>42923</v>
      </c>
      <c r="M251" s="298" t="s">
        <v>1997</v>
      </c>
      <c r="N251" s="296" t="str">
        <f>"Guinee,Kankan,Mandiana,Kiniéran, Koundianakoro"</f>
        <v>Guinee,Kankan,Mandiana,Kiniéran, Koundianakoro</v>
      </c>
    </row>
    <row r="252" spans="2:14" ht="27" x14ac:dyDescent="0.15">
      <c r="B252" s="295" t="str">
        <f>"23007"</f>
        <v>23007</v>
      </c>
      <c r="C252" s="295" t="str">
        <f>"A2020/3059"</f>
        <v>A2020/3059</v>
      </c>
      <c r="D252" s="296" t="s">
        <v>1998</v>
      </c>
      <c r="E252" s="295" t="s">
        <v>154</v>
      </c>
      <c r="F252" s="295" t="s">
        <v>644</v>
      </c>
      <c r="G252" s="295" t="s">
        <v>1565</v>
      </c>
      <c r="H252" s="295" t="s">
        <v>1565</v>
      </c>
      <c r="I252" s="297">
        <v>44146.642824074072</v>
      </c>
      <c r="J252" s="297">
        <v>44159</v>
      </c>
      <c r="K252" s="297">
        <v>45253</v>
      </c>
      <c r="L252" s="297">
        <v>44064</v>
      </c>
      <c r="M252" s="298" t="s">
        <v>1999</v>
      </c>
      <c r="N252" s="296" t="str">
        <f>"Guinee,Kankan,Mandiana,Dialokoro; Siguiri,Kiniebakoura, Siguiri-centre"</f>
        <v>Guinee,Kankan,Mandiana,Dialokoro; Siguiri,Kiniebakoura, Siguiri-centre</v>
      </c>
    </row>
    <row r="253" spans="2:14" ht="27" x14ac:dyDescent="0.15">
      <c r="B253" s="295" t="str">
        <f>"23008"</f>
        <v>23008</v>
      </c>
      <c r="C253" s="295" t="str">
        <f>"A2020/3058/MMG/SGG"</f>
        <v>A2020/3058/MMG/SGG</v>
      </c>
      <c r="D253" s="296" t="s">
        <v>1998</v>
      </c>
      <c r="E253" s="295" t="s">
        <v>154</v>
      </c>
      <c r="F253" s="295" t="s">
        <v>644</v>
      </c>
      <c r="G253" s="295" t="s">
        <v>1565</v>
      </c>
      <c r="H253" s="295" t="s">
        <v>1565</v>
      </c>
      <c r="I253" s="297">
        <v>44146.667719907404</v>
      </c>
      <c r="J253" s="297">
        <v>44159</v>
      </c>
      <c r="K253" s="297">
        <v>45253</v>
      </c>
      <c r="L253" s="297">
        <v>44064</v>
      </c>
      <c r="M253" s="298" t="s">
        <v>2000</v>
      </c>
      <c r="N253" s="296" t="str">
        <f>"Guinee,Kankan,Mandiana,Dialokoro; Siguiri,Siguiri-centre"</f>
        <v>Guinee,Kankan,Mandiana,Dialokoro; Siguiri,Siguiri-centre</v>
      </c>
    </row>
    <row r="254" spans="2:14" ht="27" x14ac:dyDescent="0.15">
      <c r="B254" s="295" t="str">
        <f>"22979"</f>
        <v>22979</v>
      </c>
      <c r="C254" s="295" t="str">
        <f>"A2020/3057/MMG/SGG"</f>
        <v>A2020/3057/MMG/SGG</v>
      </c>
      <c r="D254" s="296" t="s">
        <v>2001</v>
      </c>
      <c r="E254" s="295" t="s">
        <v>254</v>
      </c>
      <c r="F254" s="295" t="s">
        <v>1568</v>
      </c>
      <c r="G254" s="295" t="s">
        <v>1565</v>
      </c>
      <c r="H254" s="295" t="s">
        <v>1565</v>
      </c>
      <c r="I254" s="297">
        <v>44069.525543981479</v>
      </c>
      <c r="J254" s="297">
        <v>44159</v>
      </c>
      <c r="K254" s="297">
        <v>45253</v>
      </c>
      <c r="L254" s="297">
        <v>44033</v>
      </c>
      <c r="M254" s="298" t="s">
        <v>2002</v>
      </c>
      <c r="N254" s="296" t="str">
        <f>"Guinee,Kindia,Dubreka,Badi, Faléssadé, Khorira, Ouassou"</f>
        <v>Guinee,Kindia,Dubreka,Badi, Faléssadé, Khorira, Ouassou</v>
      </c>
    </row>
    <row r="255" spans="2:14" x14ac:dyDescent="0.15">
      <c r="B255" s="295" t="str">
        <f>"23003"</f>
        <v>23003</v>
      </c>
      <c r="C255" s="295" t="str">
        <f>"A2020/3054/MMG/SGG"</f>
        <v>A2020/3054/MMG/SGG</v>
      </c>
      <c r="D255" s="296" t="s">
        <v>2003</v>
      </c>
      <c r="E255" s="295" t="s">
        <v>78</v>
      </c>
      <c r="F255" s="295" t="s">
        <v>1781</v>
      </c>
      <c r="G255" s="295" t="s">
        <v>1565</v>
      </c>
      <c r="H255" s="295" t="s">
        <v>1565</v>
      </c>
      <c r="I255" s="297">
        <v>44141.477002314816</v>
      </c>
      <c r="J255" s="297">
        <v>44159</v>
      </c>
      <c r="K255" s="297">
        <v>44888</v>
      </c>
      <c r="L255" s="297">
        <v>44021</v>
      </c>
      <c r="M255" s="298" t="s">
        <v>2004</v>
      </c>
      <c r="N255" s="296" t="str">
        <f>"Guinee,Boke,Boffa,Tougnifily"</f>
        <v>Guinee,Boke,Boffa,Tougnifily</v>
      </c>
    </row>
    <row r="256" spans="2:14" ht="27" x14ac:dyDescent="0.15">
      <c r="B256" s="295" t="str">
        <f>"22278"</f>
        <v>22278</v>
      </c>
      <c r="C256" s="295" t="str">
        <f>"A2020/2957/MMG/SGG"</f>
        <v>A2020/2957/MMG/SGG</v>
      </c>
      <c r="D256" s="296" t="s">
        <v>2005</v>
      </c>
      <c r="E256" s="295" t="s">
        <v>154</v>
      </c>
      <c r="F256" s="295" t="s">
        <v>644</v>
      </c>
      <c r="G256" s="295" t="s">
        <v>1565</v>
      </c>
      <c r="H256" s="295" t="s">
        <v>1678</v>
      </c>
      <c r="I256" s="297">
        <v>43076.587534722225</v>
      </c>
      <c r="J256" s="297">
        <v>43088</v>
      </c>
      <c r="K256" s="297">
        <v>44881</v>
      </c>
      <c r="L256" s="297">
        <v>43060</v>
      </c>
      <c r="M256" s="298" t="s">
        <v>2006</v>
      </c>
      <c r="N256" s="296" t="str">
        <f>"Guinee,Kankan,Siguiri,Norassoba"</f>
        <v>Guinee,Kankan,Siguiri,Norassoba</v>
      </c>
    </row>
    <row r="257" spans="2:14" ht="27" x14ac:dyDescent="0.15">
      <c r="B257" s="295" t="str">
        <f>"22821"</f>
        <v>22821</v>
      </c>
      <c r="C257" s="295" t="str">
        <f>"A2020/290/MMG/SGG"</f>
        <v>A2020/290/MMG/SGG</v>
      </c>
      <c r="D257" s="296" t="s">
        <v>2007</v>
      </c>
      <c r="E257" s="295" t="s">
        <v>78</v>
      </c>
      <c r="F257" s="295" t="s">
        <v>1769</v>
      </c>
      <c r="G257" s="295" t="s">
        <v>1565</v>
      </c>
      <c r="H257" s="295" t="s">
        <v>1678</v>
      </c>
      <c r="I257" s="297">
        <v>43853.41615740741</v>
      </c>
      <c r="J257" s="297">
        <v>43859</v>
      </c>
      <c r="K257" s="297">
        <v>44589</v>
      </c>
      <c r="L257" s="297">
        <v>43817</v>
      </c>
      <c r="M257" s="298" t="s">
        <v>2008</v>
      </c>
      <c r="N257" s="296" t="str">
        <f>"Guinee,Kindia,Dubreka,Khorira"</f>
        <v>Guinee,Kindia,Dubreka,Khorira</v>
      </c>
    </row>
    <row r="258" spans="2:14" ht="27" x14ac:dyDescent="0.15">
      <c r="B258" s="295" t="str">
        <f>"22239"</f>
        <v>22239</v>
      </c>
      <c r="C258" s="295" t="str">
        <f>"A2020/2891/MMG/SGG"</f>
        <v>A2020/2891/MMG/SGG</v>
      </c>
      <c r="D258" s="296" t="s">
        <v>2009</v>
      </c>
      <c r="E258" s="295" t="s">
        <v>154</v>
      </c>
      <c r="F258" s="295" t="s">
        <v>644</v>
      </c>
      <c r="G258" s="295" t="s">
        <v>1565</v>
      </c>
      <c r="H258" s="295" t="s">
        <v>1565</v>
      </c>
      <c r="I258" s="297">
        <v>43027.461631944447</v>
      </c>
      <c r="J258" s="297">
        <v>43042</v>
      </c>
      <c r="K258" s="297">
        <v>44877</v>
      </c>
      <c r="L258" s="297">
        <v>43020</v>
      </c>
      <c r="M258" s="298" t="s">
        <v>2010</v>
      </c>
      <c r="N258" s="296" t="str">
        <f>"Guinee,Kankan,Siguiri,Niagassola"</f>
        <v>Guinee,Kankan,Siguiri,Niagassola</v>
      </c>
    </row>
    <row r="259" spans="2:14" ht="27" x14ac:dyDescent="0.15">
      <c r="B259" s="295" t="str">
        <f>"22240"</f>
        <v>22240</v>
      </c>
      <c r="C259" s="295" t="str">
        <f>"A2020/2890/MMG/SGG"</f>
        <v>A2020/2890/MMG/SGG</v>
      </c>
      <c r="D259" s="296" t="s">
        <v>2009</v>
      </c>
      <c r="E259" s="295" t="s">
        <v>154</v>
      </c>
      <c r="F259" s="295" t="s">
        <v>644</v>
      </c>
      <c r="G259" s="295" t="s">
        <v>1565</v>
      </c>
      <c r="H259" s="295" t="s">
        <v>1565</v>
      </c>
      <c r="I259" s="297">
        <v>43027.491863425923</v>
      </c>
      <c r="J259" s="297">
        <v>43042</v>
      </c>
      <c r="K259" s="297">
        <v>44877</v>
      </c>
      <c r="L259" s="297">
        <v>43020</v>
      </c>
      <c r="M259" s="298" t="s">
        <v>2011</v>
      </c>
      <c r="N259" s="296" t="str">
        <f>"Guinee,Kankan,Siguiri,Niagassola"</f>
        <v>Guinee,Kankan,Siguiri,Niagassola</v>
      </c>
    </row>
    <row r="260" spans="2:14" ht="27" x14ac:dyDescent="0.15">
      <c r="B260" s="295" t="str">
        <f>"22817"</f>
        <v>22817</v>
      </c>
      <c r="C260" s="295" t="str">
        <f>"A2020/289/MMG/SGG"</f>
        <v>A2020/289/MMG/SGG</v>
      </c>
      <c r="D260" s="296" t="s">
        <v>2012</v>
      </c>
      <c r="E260" s="295" t="s">
        <v>154</v>
      </c>
      <c r="F260" s="295" t="s">
        <v>644</v>
      </c>
      <c r="G260" s="295" t="s">
        <v>1565</v>
      </c>
      <c r="H260" s="295" t="s">
        <v>1565</v>
      </c>
      <c r="I260" s="297">
        <v>43844.463877314818</v>
      </c>
      <c r="J260" s="297">
        <v>43850</v>
      </c>
      <c r="K260" s="297">
        <v>44945</v>
      </c>
      <c r="L260" s="297">
        <v>43761</v>
      </c>
      <c r="M260" s="298" t="s">
        <v>2013</v>
      </c>
      <c r="N260" s="296" t="str">
        <f>"Guinee,Kankan,Siguiri,Kintinian, Norassoba"</f>
        <v>Guinee,Kankan,Siguiri,Kintinian, Norassoba</v>
      </c>
    </row>
    <row r="261" spans="2:14" x14ac:dyDescent="0.15">
      <c r="B261" s="295" t="str">
        <f>"22968"</f>
        <v>22968</v>
      </c>
      <c r="C261" s="295" t="str">
        <f>"A2020/2637/MMG/SGG"</f>
        <v>A2020/2637/MMG/SGG</v>
      </c>
      <c r="D261" s="296" t="s">
        <v>1825</v>
      </c>
      <c r="E261" s="295" t="s">
        <v>78</v>
      </c>
      <c r="F261" s="295" t="s">
        <v>1769</v>
      </c>
      <c r="G261" s="295" t="s">
        <v>1565</v>
      </c>
      <c r="H261" s="295" t="s">
        <v>1565</v>
      </c>
      <c r="I261" s="297">
        <v>44056.475659722222</v>
      </c>
      <c r="J261" s="297">
        <v>44090</v>
      </c>
      <c r="K261" s="297">
        <v>44819</v>
      </c>
      <c r="L261" s="297">
        <v>44046</v>
      </c>
      <c r="M261" s="298" t="s">
        <v>2014</v>
      </c>
      <c r="N261" s="296" t="str">
        <f>"Guinee,Kindia,Forecariah,Maférinya"</f>
        <v>Guinee,Kindia,Forecariah,Maférinya</v>
      </c>
    </row>
    <row r="262" spans="2:14" ht="27" x14ac:dyDescent="0.15">
      <c r="B262" s="295" t="str">
        <f>"22978"</f>
        <v>22978</v>
      </c>
      <c r="C262" s="295" t="str">
        <f>"A2020/2563/MMG/SGG"</f>
        <v>A2020/2563/MMG/SGG</v>
      </c>
      <c r="D262" s="296" t="s">
        <v>1918</v>
      </c>
      <c r="E262" s="295" t="s">
        <v>78</v>
      </c>
      <c r="F262" s="295" t="s">
        <v>1755</v>
      </c>
      <c r="G262" s="295" t="s">
        <v>1565</v>
      </c>
      <c r="H262" s="295" t="s">
        <v>1565</v>
      </c>
      <c r="I262" s="297">
        <v>44068.623148148145</v>
      </c>
      <c r="J262" s="297">
        <v>44083</v>
      </c>
      <c r="K262" s="297">
        <v>44812</v>
      </c>
      <c r="L262" s="297">
        <v>44036</v>
      </c>
      <c r="M262" s="298" t="s">
        <v>2015</v>
      </c>
      <c r="N262" s="296" t="str">
        <f>"Guinee,Kindia,Kindia,Mambia"</f>
        <v>Guinee,Kindia,Kindia,Mambia</v>
      </c>
    </row>
    <row r="263" spans="2:14" ht="27" x14ac:dyDescent="0.15">
      <c r="B263" s="295" t="str">
        <f>"22973"</f>
        <v>22973</v>
      </c>
      <c r="C263" s="295" t="str">
        <f>"A2020/2459/MMG/SGG"</f>
        <v>A2020/2459/MMG/SGG</v>
      </c>
      <c r="D263" s="296" t="s">
        <v>2016</v>
      </c>
      <c r="E263" s="295" t="s">
        <v>78</v>
      </c>
      <c r="F263" s="295" t="s">
        <v>1769</v>
      </c>
      <c r="G263" s="295" t="s">
        <v>1565</v>
      </c>
      <c r="H263" s="295" t="s">
        <v>1565</v>
      </c>
      <c r="I263" s="297">
        <v>44061.420046296298</v>
      </c>
      <c r="J263" s="297">
        <v>44071</v>
      </c>
      <c r="K263" s="297">
        <v>44800</v>
      </c>
      <c r="L263" s="297">
        <v>44039</v>
      </c>
      <c r="M263" s="298" t="s">
        <v>2017</v>
      </c>
      <c r="N263" s="296" t="str">
        <f>"Guinee,Kindia,Forecariah,Maférinya"</f>
        <v>Guinee,Kindia,Forecariah,Maférinya</v>
      </c>
    </row>
    <row r="264" spans="2:14" x14ac:dyDescent="0.15">
      <c r="B264" s="295" t="str">
        <f>"22974"</f>
        <v>22974</v>
      </c>
      <c r="C264" s="295" t="str">
        <f>"A2020/2458/MMG/SGG"</f>
        <v>A2020/2458/MMG/SGG</v>
      </c>
      <c r="D264" s="296" t="s">
        <v>2018</v>
      </c>
      <c r="E264" s="295" t="s">
        <v>78</v>
      </c>
      <c r="F264" s="295" t="s">
        <v>1769</v>
      </c>
      <c r="G264" s="295" t="s">
        <v>1565</v>
      </c>
      <c r="H264" s="295" t="s">
        <v>1565</v>
      </c>
      <c r="I264" s="297">
        <v>44061.456377314818</v>
      </c>
      <c r="J264" s="297">
        <v>44071</v>
      </c>
      <c r="K264" s="297">
        <v>44800</v>
      </c>
      <c r="L264" s="297">
        <v>44039</v>
      </c>
      <c r="M264" s="298" t="s">
        <v>2019</v>
      </c>
      <c r="N264" s="296" t="str">
        <f>"Guinee,Kindia,Forecariah,Maférinya"</f>
        <v>Guinee,Kindia,Forecariah,Maférinya</v>
      </c>
    </row>
    <row r="265" spans="2:14" x14ac:dyDescent="0.15">
      <c r="B265" s="295" t="str">
        <f>"22971"</f>
        <v>22971</v>
      </c>
      <c r="C265" s="295" t="str">
        <f>"A2020/2457/MMG/SGG"</f>
        <v>A2020/2457/MMG/SGG</v>
      </c>
      <c r="D265" s="296" t="s">
        <v>1980</v>
      </c>
      <c r="E265" s="295" t="s">
        <v>78</v>
      </c>
      <c r="F265" s="295" t="s">
        <v>1769</v>
      </c>
      <c r="G265" s="295" t="s">
        <v>1565</v>
      </c>
      <c r="H265" s="295" t="s">
        <v>1565</v>
      </c>
      <c r="I265" s="297">
        <v>44057.196388888886</v>
      </c>
      <c r="J265" s="297">
        <v>44071</v>
      </c>
      <c r="K265" s="297">
        <v>44800</v>
      </c>
      <c r="L265" s="297">
        <v>44040</v>
      </c>
      <c r="M265" s="298" t="s">
        <v>2020</v>
      </c>
      <c r="N265" s="296" t="str">
        <f>"Guinee,Kindia,Dubreka,Khorira"</f>
        <v>Guinee,Kindia,Dubreka,Khorira</v>
      </c>
    </row>
    <row r="266" spans="2:14" x14ac:dyDescent="0.15">
      <c r="B266" s="295" t="str">
        <f>"22969"</f>
        <v>22969</v>
      </c>
      <c r="C266" s="295" t="str">
        <f>"A2020/2455/MMG/SGG"</f>
        <v>A2020/2455/MMG/SGG</v>
      </c>
      <c r="D266" s="296" t="s">
        <v>1825</v>
      </c>
      <c r="E266" s="295" t="s">
        <v>78</v>
      </c>
      <c r="F266" s="295" t="s">
        <v>1769</v>
      </c>
      <c r="G266" s="295" t="s">
        <v>1565</v>
      </c>
      <c r="H266" s="295" t="s">
        <v>1565</v>
      </c>
      <c r="I266" s="297">
        <v>44056.48809027778</v>
      </c>
      <c r="J266" s="297">
        <v>44071</v>
      </c>
      <c r="K266" s="297">
        <v>44800</v>
      </c>
      <c r="L266" s="297">
        <v>44046</v>
      </c>
      <c r="M266" s="298" t="s">
        <v>2021</v>
      </c>
      <c r="N266" s="296" t="str">
        <f>"Guinee,Kindia,Forecariah,Maférinya"</f>
        <v>Guinee,Kindia,Forecariah,Maférinya</v>
      </c>
    </row>
    <row r="267" spans="2:14" ht="18.75" x14ac:dyDescent="0.15">
      <c r="B267" s="295" t="str">
        <f>"22288"</f>
        <v>22288</v>
      </c>
      <c r="C267" s="295" t="str">
        <f>"A2020/2453/MMG/SGG"</f>
        <v>A2020/2453/MMG/SGG</v>
      </c>
      <c r="D267" s="296" t="s">
        <v>2022</v>
      </c>
      <c r="E267" s="295" t="s">
        <v>254</v>
      </c>
      <c r="F267" s="295" t="s">
        <v>1568</v>
      </c>
      <c r="G267" s="295" t="s">
        <v>1565</v>
      </c>
      <c r="H267" s="295" t="s">
        <v>1873</v>
      </c>
      <c r="I267" s="297">
        <v>43096.446157407408</v>
      </c>
      <c r="J267" s="297">
        <v>43173</v>
      </c>
      <c r="K267" s="297">
        <v>44801</v>
      </c>
      <c r="L267" s="297">
        <v>43173</v>
      </c>
      <c r="M267" s="298" t="s">
        <v>2023</v>
      </c>
      <c r="N267" s="296" t="str">
        <f>"Guinee,Kindia,Dubreka,Faléssadé; Kindia,Samaya"</f>
        <v>Guinee,Kindia,Dubreka,Faléssadé; Kindia,Samaya</v>
      </c>
    </row>
    <row r="268" spans="2:14" ht="27" x14ac:dyDescent="0.15">
      <c r="B268" s="295" t="str">
        <f>"22961"</f>
        <v>22961</v>
      </c>
      <c r="C268" s="295" t="str">
        <f>"A2020/2452/MMG/SGG"</f>
        <v>A2020/2452/MMG/SGG</v>
      </c>
      <c r="D268" s="296" t="s">
        <v>2024</v>
      </c>
      <c r="E268" s="295" t="s">
        <v>154</v>
      </c>
      <c r="F268" s="295" t="s">
        <v>644</v>
      </c>
      <c r="G268" s="295" t="s">
        <v>1565</v>
      </c>
      <c r="H268" s="295" t="s">
        <v>1565</v>
      </c>
      <c r="I268" s="297">
        <v>44047.444756944446</v>
      </c>
      <c r="J268" s="297">
        <v>44071</v>
      </c>
      <c r="K268" s="297">
        <v>45165</v>
      </c>
      <c r="L268" s="297">
        <v>44035</v>
      </c>
      <c r="M268" s="298" t="s">
        <v>2025</v>
      </c>
      <c r="N268" s="296" t="str">
        <f>"Guinee,Kankan,Mandiana,Dialokoro, Kiniéran, Sansando"</f>
        <v>Guinee,Kankan,Mandiana,Dialokoro, Kiniéran, Sansando</v>
      </c>
    </row>
    <row r="269" spans="2:14" ht="18.75" x14ac:dyDescent="0.15">
      <c r="B269" s="295" t="str">
        <f>"22021"</f>
        <v>22021</v>
      </c>
      <c r="C269" s="295" t="str">
        <f>"A2020/2351/MMG/SGG"</f>
        <v>A2020/2351/MMG/SGG</v>
      </c>
      <c r="D269" s="296" t="s">
        <v>2026</v>
      </c>
      <c r="E269" s="295" t="s">
        <v>254</v>
      </c>
      <c r="F269" s="295" t="s">
        <v>1568</v>
      </c>
      <c r="G269" s="295" t="s">
        <v>1565</v>
      </c>
      <c r="H269" s="295" t="s">
        <v>1873</v>
      </c>
      <c r="I269" s="297">
        <v>42662.609548611108</v>
      </c>
      <c r="J269" s="297">
        <v>42668</v>
      </c>
      <c r="K269" s="297">
        <v>44421</v>
      </c>
      <c r="L269" s="297">
        <v>42661</v>
      </c>
      <c r="M269" s="298" t="s">
        <v>2027</v>
      </c>
      <c r="N269" s="296" t="str">
        <f>"Guinee,Boke,Boke,Dabiss, Sansalé"</f>
        <v>Guinee,Boke,Boke,Dabiss, Sansalé</v>
      </c>
    </row>
    <row r="270" spans="2:14" ht="18.75" x14ac:dyDescent="0.15">
      <c r="B270" s="295" t="str">
        <f>"22955"</f>
        <v>22955</v>
      </c>
      <c r="C270" s="295" t="str">
        <f>"A2020/2347/MMG/SGG"</f>
        <v>A2020/2347/MMG/SGG</v>
      </c>
      <c r="D270" s="296" t="s">
        <v>2028</v>
      </c>
      <c r="E270" s="295" t="s">
        <v>154</v>
      </c>
      <c r="F270" s="295" t="s">
        <v>644</v>
      </c>
      <c r="G270" s="295" t="s">
        <v>1565</v>
      </c>
      <c r="H270" s="295" t="s">
        <v>1565</v>
      </c>
      <c r="I270" s="297">
        <v>44036.720138888886</v>
      </c>
      <c r="J270" s="297">
        <v>44056</v>
      </c>
      <c r="K270" s="297">
        <v>45150</v>
      </c>
      <c r="L270" s="297">
        <v>44033</v>
      </c>
      <c r="M270" s="298" t="s">
        <v>2029</v>
      </c>
      <c r="N270" s="296" t="str">
        <f>"Guinee,Kankan,Siguiri,Niagassola"</f>
        <v>Guinee,Kankan,Siguiri,Niagassola</v>
      </c>
    </row>
    <row r="271" spans="2:14" ht="18.75" x14ac:dyDescent="0.15">
      <c r="B271" s="295" t="str">
        <f>"22954"</f>
        <v>22954</v>
      </c>
      <c r="C271" s="295" t="str">
        <f>"A2020/2346/MMG/SGG"</f>
        <v>A2020/2346/MMG/SGG</v>
      </c>
      <c r="D271" s="296" t="s">
        <v>2028</v>
      </c>
      <c r="E271" s="295" t="s">
        <v>154</v>
      </c>
      <c r="F271" s="295" t="s">
        <v>644</v>
      </c>
      <c r="G271" s="295" t="s">
        <v>1565</v>
      </c>
      <c r="H271" s="295" t="s">
        <v>1565</v>
      </c>
      <c r="I271" s="297">
        <v>44036.671712962961</v>
      </c>
      <c r="J271" s="297">
        <v>44056</v>
      </c>
      <c r="K271" s="297">
        <v>45150</v>
      </c>
      <c r="L271" s="297">
        <v>44035</v>
      </c>
      <c r="M271" s="298" t="s">
        <v>2030</v>
      </c>
      <c r="N271" s="296" t="str">
        <f>"Guinee,Kankan,Siguiri,Niagassola"</f>
        <v>Guinee,Kankan,Siguiri,Niagassola</v>
      </c>
    </row>
    <row r="272" spans="2:14" ht="18.75" x14ac:dyDescent="0.15">
      <c r="B272" s="295" t="str">
        <f>"22957"</f>
        <v>22957</v>
      </c>
      <c r="C272" s="295" t="str">
        <f>"A2020/2345/MMG/SGG"</f>
        <v>A2020/2345/MMG/SGG</v>
      </c>
      <c r="D272" s="296" t="s">
        <v>2031</v>
      </c>
      <c r="E272" s="295" t="s">
        <v>154</v>
      </c>
      <c r="F272" s="295" t="s">
        <v>644</v>
      </c>
      <c r="G272" s="295" t="s">
        <v>1565</v>
      </c>
      <c r="H272" s="295" t="s">
        <v>1565</v>
      </c>
      <c r="I272" s="297">
        <v>44036.768587962964</v>
      </c>
      <c r="J272" s="297">
        <v>44056</v>
      </c>
      <c r="K272" s="297">
        <v>45150</v>
      </c>
      <c r="L272" s="297">
        <v>44033</v>
      </c>
      <c r="M272" s="298" t="s">
        <v>2032</v>
      </c>
      <c r="N272" s="296" t="str">
        <f>"Guinee,Kankan,Siguiri,Niagassola"</f>
        <v>Guinee,Kankan,Siguiri,Niagassola</v>
      </c>
    </row>
    <row r="273" spans="2:14" ht="18.75" x14ac:dyDescent="0.15">
      <c r="B273" s="295" t="str">
        <f>"22956"</f>
        <v>22956</v>
      </c>
      <c r="C273" s="295" t="str">
        <f>"A2020/2344/MMG/SGG"</f>
        <v>A2020/2344/MMG/SGG</v>
      </c>
      <c r="D273" s="296" t="s">
        <v>2031</v>
      </c>
      <c r="E273" s="295" t="s">
        <v>154</v>
      </c>
      <c r="F273" s="295" t="s">
        <v>644</v>
      </c>
      <c r="G273" s="295" t="s">
        <v>1565</v>
      </c>
      <c r="H273" s="295" t="s">
        <v>1565</v>
      </c>
      <c r="I273" s="297">
        <v>44036.748541666668</v>
      </c>
      <c r="J273" s="297">
        <v>44056</v>
      </c>
      <c r="K273" s="297">
        <v>45150</v>
      </c>
      <c r="L273" s="297">
        <v>44033</v>
      </c>
      <c r="M273" s="298" t="s">
        <v>2033</v>
      </c>
      <c r="N273" s="296" t="str">
        <f>"Guinee,Kankan,Siguiri,Kintinian, Norassoba"</f>
        <v>Guinee,Kankan,Siguiri,Kintinian, Norassoba</v>
      </c>
    </row>
    <row r="274" spans="2:14" ht="27" x14ac:dyDescent="0.15">
      <c r="B274" s="295" t="str">
        <f>"22181"</f>
        <v>22181</v>
      </c>
      <c r="C274" s="295" t="str">
        <f>"A2020/2290/MMG/SGG"</f>
        <v>A2020/2290/MMG/SGG</v>
      </c>
      <c r="D274" s="296" t="s">
        <v>2034</v>
      </c>
      <c r="E274" s="295" t="s">
        <v>154</v>
      </c>
      <c r="F274" s="295" t="s">
        <v>644</v>
      </c>
      <c r="G274" s="295" t="s">
        <v>1565</v>
      </c>
      <c r="H274" s="295" t="s">
        <v>1873</v>
      </c>
      <c r="I274" s="297">
        <v>42940.599664351852</v>
      </c>
      <c r="J274" s="297">
        <v>42951</v>
      </c>
      <c r="K274" s="297">
        <v>44413</v>
      </c>
      <c r="L274" s="297">
        <v>42818</v>
      </c>
      <c r="M274" s="298" t="s">
        <v>2035</v>
      </c>
      <c r="N274" s="296" t="str">
        <f>"Guinee,Kankan,Mandiana,Koundian, Mandiana-centre"</f>
        <v>Guinee,Kankan,Mandiana,Koundian, Mandiana-centre</v>
      </c>
    </row>
    <row r="275" spans="2:14" ht="27" x14ac:dyDescent="0.15">
      <c r="B275" s="295" t="str">
        <f>"22182"</f>
        <v>22182</v>
      </c>
      <c r="C275" s="295" t="str">
        <f>"A2020/2289/MMG/SGG"</f>
        <v>A2020/2289/MMG/SGG</v>
      </c>
      <c r="D275" s="296" t="s">
        <v>117</v>
      </c>
      <c r="E275" s="295" t="s">
        <v>154</v>
      </c>
      <c r="F275" s="295" t="s">
        <v>644</v>
      </c>
      <c r="G275" s="295" t="s">
        <v>1565</v>
      </c>
      <c r="H275" s="295" t="s">
        <v>1873</v>
      </c>
      <c r="I275" s="297">
        <v>42940.620462962965</v>
      </c>
      <c r="J275" s="297">
        <v>42951</v>
      </c>
      <c r="K275" s="297">
        <v>44413</v>
      </c>
      <c r="L275" s="297">
        <v>42940</v>
      </c>
      <c r="M275" s="298" t="s">
        <v>2036</v>
      </c>
      <c r="N275" s="296" t="str">
        <f>"Guinee,Kankan,Kankan,Balandougou; Mandiana,Mandiana-centre"</f>
        <v>Guinee,Kankan,Kankan,Balandougou; Mandiana,Mandiana-centre</v>
      </c>
    </row>
    <row r="276" spans="2:14" ht="27" x14ac:dyDescent="0.15">
      <c r="B276" s="295" t="str">
        <f>"22183"</f>
        <v>22183</v>
      </c>
      <c r="C276" s="295" t="str">
        <f>"A2020/2288/MMG/SGG"</f>
        <v>A2020/2288/MMG/SGG</v>
      </c>
      <c r="D276" s="296" t="s">
        <v>2034</v>
      </c>
      <c r="E276" s="295" t="s">
        <v>154</v>
      </c>
      <c r="F276" s="295" t="s">
        <v>644</v>
      </c>
      <c r="G276" s="295" t="s">
        <v>1565</v>
      </c>
      <c r="H276" s="295" t="s">
        <v>1873</v>
      </c>
      <c r="I276" s="297">
        <v>42940.652361111112</v>
      </c>
      <c r="J276" s="297">
        <v>42951</v>
      </c>
      <c r="K276" s="297">
        <v>44413</v>
      </c>
      <c r="L276" s="297">
        <v>42937</v>
      </c>
      <c r="M276" s="298" t="s">
        <v>2037</v>
      </c>
      <c r="N276" s="296" t="str">
        <f>"Guinee,Kankan,Mandiana,Kantoumanina, Mandiana-centre"</f>
        <v>Guinee,Kankan,Mandiana,Kantoumanina, Mandiana-centre</v>
      </c>
    </row>
    <row r="277" spans="2:14" ht="27" x14ac:dyDescent="0.15">
      <c r="B277" s="295" t="str">
        <f>"22179"</f>
        <v>22179</v>
      </c>
      <c r="C277" s="295" t="str">
        <f>"A2020/2287/MMG/SGG"</f>
        <v>A2020/2287/MMG/SGG</v>
      </c>
      <c r="D277" s="296" t="s">
        <v>2034</v>
      </c>
      <c r="E277" s="295" t="s">
        <v>154</v>
      </c>
      <c r="F277" s="295" t="s">
        <v>644</v>
      </c>
      <c r="G277" s="295" t="s">
        <v>1565</v>
      </c>
      <c r="H277" s="295" t="s">
        <v>1873</v>
      </c>
      <c r="I277" s="297">
        <v>42940.537152777775</v>
      </c>
      <c r="J277" s="297">
        <v>42951</v>
      </c>
      <c r="K277" s="297">
        <v>44413</v>
      </c>
      <c r="L277" s="297">
        <v>42940</v>
      </c>
      <c r="M277" s="298" t="s">
        <v>2038</v>
      </c>
      <c r="N277" s="296" t="str">
        <f>"Guinee,Kankan,Mandiana,Koundian"</f>
        <v>Guinee,Kankan,Mandiana,Koundian</v>
      </c>
    </row>
    <row r="278" spans="2:14" ht="27" x14ac:dyDescent="0.15">
      <c r="B278" s="295" t="str">
        <f>"22180"</f>
        <v>22180</v>
      </c>
      <c r="C278" s="295" t="str">
        <f>"A2020/2286/MMG/SGG"</f>
        <v>A2020/2286/MMG/SGG</v>
      </c>
      <c r="D278" s="296" t="s">
        <v>2034</v>
      </c>
      <c r="E278" s="295" t="s">
        <v>154</v>
      </c>
      <c r="F278" s="295" t="s">
        <v>644</v>
      </c>
      <c r="G278" s="295" t="s">
        <v>1565</v>
      </c>
      <c r="H278" s="295" t="s">
        <v>1873</v>
      </c>
      <c r="I278" s="297">
        <v>42940.582395833335</v>
      </c>
      <c r="J278" s="297">
        <v>42951</v>
      </c>
      <c r="K278" s="297">
        <v>44413</v>
      </c>
      <c r="L278" s="297">
        <v>42940</v>
      </c>
      <c r="M278" s="298" t="s">
        <v>2039</v>
      </c>
      <c r="N278" s="296" t="str">
        <f>"Guinee,Kankan,Kankan,Balandougou; Mandiana,Mandiana-centre"</f>
        <v>Guinee,Kankan,Kankan,Balandougou; Mandiana,Mandiana-centre</v>
      </c>
    </row>
    <row r="279" spans="2:14" ht="27" x14ac:dyDescent="0.15">
      <c r="B279" s="295" t="str">
        <f>"22937"</f>
        <v>22937</v>
      </c>
      <c r="C279" s="295" t="str">
        <f>"A2020/2285/MMG/SGG"</f>
        <v>A2020/2285/MMG/SGG</v>
      </c>
      <c r="D279" s="296" t="s">
        <v>2040</v>
      </c>
      <c r="E279" s="295" t="s">
        <v>154</v>
      </c>
      <c r="F279" s="295" t="s">
        <v>644</v>
      </c>
      <c r="G279" s="295" t="s">
        <v>1565</v>
      </c>
      <c r="H279" s="295" t="s">
        <v>1565</v>
      </c>
      <c r="I279" s="297">
        <v>44027.745046296295</v>
      </c>
      <c r="J279" s="297">
        <v>44048</v>
      </c>
      <c r="K279" s="297">
        <v>45142</v>
      </c>
      <c r="L279" s="297">
        <v>43997</v>
      </c>
      <c r="M279" s="298" t="s">
        <v>2041</v>
      </c>
      <c r="N279" s="296" t="str">
        <f>"Guinee,Kankan,Siguiri,Franwalia"</f>
        <v>Guinee,Kankan,Siguiri,Franwalia</v>
      </c>
    </row>
    <row r="280" spans="2:14" ht="27" x14ac:dyDescent="0.15">
      <c r="B280" s="295" t="str">
        <f>"22960"</f>
        <v>22960</v>
      </c>
      <c r="C280" s="295" t="str">
        <f>"A2020/2284/MM/SGG"</f>
        <v>A2020/2284/MM/SGG</v>
      </c>
      <c r="D280" s="296" t="s">
        <v>1928</v>
      </c>
      <c r="E280" s="295" t="s">
        <v>154</v>
      </c>
      <c r="F280" s="295" t="s">
        <v>644</v>
      </c>
      <c r="G280" s="295" t="s">
        <v>1565</v>
      </c>
      <c r="H280" s="295" t="s">
        <v>1565</v>
      </c>
      <c r="I280" s="297">
        <v>44041.586736111109</v>
      </c>
      <c r="J280" s="297">
        <v>44048</v>
      </c>
      <c r="K280" s="297">
        <v>45142</v>
      </c>
      <c r="L280" s="297">
        <v>44041</v>
      </c>
      <c r="M280" s="298" t="s">
        <v>2042</v>
      </c>
      <c r="N280" s="296" t="str">
        <f>"Guinee,Kankan,Kouroussa,Komola-khoura, Sanguiana; Siguiri,Norassoba"</f>
        <v>Guinee,Kankan,Kouroussa,Komola-khoura, Sanguiana; Siguiri,Norassoba</v>
      </c>
    </row>
    <row r="281" spans="2:14" ht="18.75" x14ac:dyDescent="0.15">
      <c r="B281" s="295" t="str">
        <f>"22930"</f>
        <v>22930</v>
      </c>
      <c r="C281" s="295" t="str">
        <f>"A2020/2283/MMG/SGG"</f>
        <v>A2020/2283/MMG/SGG</v>
      </c>
      <c r="D281" s="296" t="s">
        <v>1928</v>
      </c>
      <c r="E281" s="295" t="s">
        <v>154</v>
      </c>
      <c r="F281" s="295" t="s">
        <v>644</v>
      </c>
      <c r="G281" s="295" t="s">
        <v>1565</v>
      </c>
      <c r="H281" s="295" t="s">
        <v>1565</v>
      </c>
      <c r="I281" s="297">
        <v>44013.622534722221</v>
      </c>
      <c r="J281" s="297">
        <v>44048</v>
      </c>
      <c r="K281" s="297">
        <v>45142</v>
      </c>
      <c r="L281" s="297">
        <v>43994</v>
      </c>
      <c r="M281" s="298" t="s">
        <v>2043</v>
      </c>
      <c r="N281" s="296" t="str">
        <f>"Guinee,Kankan,Siguiri,Norassoba"</f>
        <v>Guinee,Kankan,Siguiri,Norassoba</v>
      </c>
    </row>
    <row r="282" spans="2:14" ht="27" x14ac:dyDescent="0.15">
      <c r="B282" s="295" t="str">
        <f>"22952"</f>
        <v>22952</v>
      </c>
      <c r="C282" s="295" t="str">
        <f>"A2020/2282/MMG/SGG"</f>
        <v>A2020/2282/MMG/SGG</v>
      </c>
      <c r="D282" s="296" t="s">
        <v>2044</v>
      </c>
      <c r="E282" s="295" t="s">
        <v>154</v>
      </c>
      <c r="F282" s="295" t="s">
        <v>644</v>
      </c>
      <c r="G282" s="295" t="s">
        <v>1565</v>
      </c>
      <c r="H282" s="295" t="s">
        <v>1565</v>
      </c>
      <c r="I282" s="297">
        <v>44035.524826388886</v>
      </c>
      <c r="J282" s="297">
        <v>44048</v>
      </c>
      <c r="K282" s="297">
        <v>45142</v>
      </c>
      <c r="L282" s="297">
        <v>43977</v>
      </c>
      <c r="M282" s="298" t="s">
        <v>2045</v>
      </c>
      <c r="N282" s="296" t="str">
        <f>"Guinee,Kankan,Kankan,Gbérédou-Barana; Kouroussa,Baro"</f>
        <v>Guinee,Kankan,Kankan,Gbérédou-Barana; Kouroussa,Baro</v>
      </c>
    </row>
    <row r="283" spans="2:14" x14ac:dyDescent="0.15">
      <c r="B283" s="295" t="str">
        <f>"22945"</f>
        <v>22945</v>
      </c>
      <c r="C283" s="295" t="str">
        <f>"A2020/2272/MMG/SGG"</f>
        <v>A2020/2272/MMG/SGG</v>
      </c>
      <c r="D283" s="296" t="s">
        <v>2046</v>
      </c>
      <c r="E283" s="295" t="s">
        <v>78</v>
      </c>
      <c r="F283" s="295" t="s">
        <v>1890</v>
      </c>
      <c r="G283" s="295" t="s">
        <v>1565</v>
      </c>
      <c r="H283" s="295" t="s">
        <v>1565</v>
      </c>
      <c r="I283" s="297">
        <v>44033.600624999999</v>
      </c>
      <c r="J283" s="297">
        <v>44048</v>
      </c>
      <c r="K283" s="297">
        <v>44777</v>
      </c>
      <c r="L283" s="297">
        <v>44018</v>
      </c>
      <c r="M283" s="298" t="s">
        <v>2047</v>
      </c>
      <c r="N283" s="296" t="str">
        <f>"Guinee,Kindia,Dubreka,Ouassou"</f>
        <v>Guinee,Kindia,Dubreka,Ouassou</v>
      </c>
    </row>
    <row r="284" spans="2:14" ht="18.75" x14ac:dyDescent="0.15">
      <c r="B284" s="295" t="str">
        <f>"22934"</f>
        <v>22934</v>
      </c>
      <c r="C284" s="295" t="str">
        <f>"A2020/2271/MMG/SGG"</f>
        <v>A2020/2271/MMG/SGG</v>
      </c>
      <c r="D284" s="296" t="s">
        <v>270</v>
      </c>
      <c r="E284" s="295" t="s">
        <v>254</v>
      </c>
      <c r="F284" s="295" t="s">
        <v>1568</v>
      </c>
      <c r="G284" s="295" t="s">
        <v>1565</v>
      </c>
      <c r="H284" s="295" t="s">
        <v>1565</v>
      </c>
      <c r="I284" s="297">
        <v>44025.466863425929</v>
      </c>
      <c r="J284" s="297">
        <v>44048</v>
      </c>
      <c r="K284" s="297">
        <v>45142</v>
      </c>
      <c r="L284" s="297">
        <v>43925</v>
      </c>
      <c r="M284" s="298" t="s">
        <v>2048</v>
      </c>
      <c r="N284" s="296" t="str">
        <f>"Guinee,Mamou,Pita,Sangaréah"</f>
        <v>Guinee,Mamou,Pita,Sangaréah</v>
      </c>
    </row>
    <row r="285" spans="2:14" ht="27" x14ac:dyDescent="0.15">
      <c r="B285" s="295" t="str">
        <f>"22941"</f>
        <v>22941</v>
      </c>
      <c r="C285" s="295" t="str">
        <f>"A2020/2269/MMG/SGG"</f>
        <v>A2020/2269/MMG/SGG</v>
      </c>
      <c r="D285" s="296" t="s">
        <v>2049</v>
      </c>
      <c r="E285" s="295" t="s">
        <v>254</v>
      </c>
      <c r="F285" s="295" t="s">
        <v>1568</v>
      </c>
      <c r="G285" s="295" t="s">
        <v>1565</v>
      </c>
      <c r="H285" s="295" t="s">
        <v>1565</v>
      </c>
      <c r="I285" s="297">
        <v>44029.656863425924</v>
      </c>
      <c r="J285" s="297">
        <v>44048</v>
      </c>
      <c r="K285" s="297">
        <v>45142</v>
      </c>
      <c r="L285" s="297">
        <v>43992</v>
      </c>
      <c r="M285" s="298" t="s">
        <v>2050</v>
      </c>
      <c r="N285" s="296" t="str">
        <f>"Guinee,Labe,Koubia,Fafaya, Matakaou; Mali,Salambandé, Téliré"</f>
        <v>Guinee,Labe,Koubia,Fafaya, Matakaou; Mali,Salambandé, Téliré</v>
      </c>
    </row>
    <row r="286" spans="2:14" ht="27" x14ac:dyDescent="0.15">
      <c r="B286" s="295" t="str">
        <f>"22943"</f>
        <v>22943</v>
      </c>
      <c r="C286" s="295" t="str">
        <f>"A2020/2268/MMG/SGG"</f>
        <v>A2020/2268/MMG/SGG</v>
      </c>
      <c r="D286" s="296" t="s">
        <v>2049</v>
      </c>
      <c r="E286" s="295" t="s">
        <v>154</v>
      </c>
      <c r="F286" s="295" t="s">
        <v>644</v>
      </c>
      <c r="G286" s="295" t="s">
        <v>1565</v>
      </c>
      <c r="H286" s="295" t="s">
        <v>1565</v>
      </c>
      <c r="I286" s="297">
        <v>44029.70144675926</v>
      </c>
      <c r="J286" s="297">
        <v>44048</v>
      </c>
      <c r="K286" s="297">
        <v>45142</v>
      </c>
      <c r="L286" s="297">
        <v>44019</v>
      </c>
      <c r="M286" s="298" t="s">
        <v>2051</v>
      </c>
      <c r="N286" s="296" t="str">
        <f>"Guinee,Kankan,Kankan,Balandougou, Karifamoriah"</f>
        <v>Guinee,Kankan,Kankan,Balandougou, Karifamoriah</v>
      </c>
    </row>
    <row r="287" spans="2:14" ht="27" x14ac:dyDescent="0.15">
      <c r="B287" s="295" t="str">
        <f>"22942"</f>
        <v>22942</v>
      </c>
      <c r="C287" s="295" t="str">
        <f>"A2020/2267/MMG/SGG"</f>
        <v>A2020/2267/MMG/SGG</v>
      </c>
      <c r="D287" s="296" t="s">
        <v>2049</v>
      </c>
      <c r="E287" s="295" t="s">
        <v>154</v>
      </c>
      <c r="F287" s="295" t="s">
        <v>644</v>
      </c>
      <c r="G287" s="295" t="s">
        <v>1565</v>
      </c>
      <c r="H287" s="295" t="s">
        <v>1565</v>
      </c>
      <c r="I287" s="297">
        <v>44029.68378472222</v>
      </c>
      <c r="J287" s="297">
        <v>44048</v>
      </c>
      <c r="K287" s="297">
        <v>45142</v>
      </c>
      <c r="L287" s="297">
        <v>43992</v>
      </c>
      <c r="M287" s="298" t="s">
        <v>2052</v>
      </c>
      <c r="N287" s="296" t="str">
        <f>"Guinee,Kankan,Siguiri,Kintinian"</f>
        <v>Guinee,Kankan,Siguiri,Kintinian</v>
      </c>
    </row>
    <row r="288" spans="2:14" ht="27" x14ac:dyDescent="0.15">
      <c r="B288" s="295" t="str">
        <f>"22939"</f>
        <v>22939</v>
      </c>
      <c r="C288" s="295" t="str">
        <f>"A2020/2266/MMG/SGG"</f>
        <v>A2020/2266/MMG/SGG</v>
      </c>
      <c r="D288" s="296" t="s">
        <v>2053</v>
      </c>
      <c r="E288" s="295" t="s">
        <v>154</v>
      </c>
      <c r="F288" s="295" t="s">
        <v>644</v>
      </c>
      <c r="G288" s="295" t="s">
        <v>1565</v>
      </c>
      <c r="H288" s="295" t="s">
        <v>1565</v>
      </c>
      <c r="I288" s="297">
        <v>44028.715925925928</v>
      </c>
      <c r="J288" s="297">
        <v>44048</v>
      </c>
      <c r="K288" s="297">
        <v>45142</v>
      </c>
      <c r="L288" s="297">
        <v>44019</v>
      </c>
      <c r="M288" s="298" t="s">
        <v>2054</v>
      </c>
      <c r="N288" s="296" t="str">
        <f>"Guinee,Kankan,Mandiana,Sansando"</f>
        <v>Guinee,Kankan,Mandiana,Sansando</v>
      </c>
    </row>
    <row r="289" spans="2:14" ht="27" x14ac:dyDescent="0.15">
      <c r="B289" s="295" t="str">
        <f>"22938"</f>
        <v>22938</v>
      </c>
      <c r="C289" s="295" t="str">
        <f>"A2020/2265/MMG/SGG"</f>
        <v>A2020/2265/MMG/SGG</v>
      </c>
      <c r="D289" s="296" t="s">
        <v>2053</v>
      </c>
      <c r="E289" s="295" t="s">
        <v>154</v>
      </c>
      <c r="F289" s="295" t="s">
        <v>644</v>
      </c>
      <c r="G289" s="295" t="s">
        <v>1565</v>
      </c>
      <c r="H289" s="295" t="s">
        <v>1565</v>
      </c>
      <c r="I289" s="297">
        <v>44028.69090277778</v>
      </c>
      <c r="J289" s="297">
        <v>44048</v>
      </c>
      <c r="K289" s="297">
        <v>45142</v>
      </c>
      <c r="L289" s="297">
        <v>44019</v>
      </c>
      <c r="M289" s="298" t="s">
        <v>2055</v>
      </c>
      <c r="N289" s="296" t="str">
        <f>"Guinee,Kankan,Mandiana,Faralako, Kantoumanina, Saladou"</f>
        <v>Guinee,Kankan,Mandiana,Faralako, Kantoumanina, Saladou</v>
      </c>
    </row>
    <row r="290" spans="2:14" ht="27" x14ac:dyDescent="0.15">
      <c r="B290" s="295" t="str">
        <f>"22936"</f>
        <v>22936</v>
      </c>
      <c r="C290" s="295" t="str">
        <f>"A2020/2264/MMG/SGG"</f>
        <v>A2020/2264/MMG/SGG</v>
      </c>
      <c r="D290" s="296" t="s">
        <v>1878</v>
      </c>
      <c r="E290" s="295" t="s">
        <v>154</v>
      </c>
      <c r="F290" s="295" t="s">
        <v>644</v>
      </c>
      <c r="G290" s="295" t="s">
        <v>1565</v>
      </c>
      <c r="H290" s="295" t="s">
        <v>1565</v>
      </c>
      <c r="I290" s="297">
        <v>44027.731307870374</v>
      </c>
      <c r="J290" s="297">
        <v>44048</v>
      </c>
      <c r="K290" s="297">
        <v>45142</v>
      </c>
      <c r="L290" s="297">
        <v>44008</v>
      </c>
      <c r="M290" s="298" t="s">
        <v>2056</v>
      </c>
      <c r="N290" s="296" t="str">
        <f>"Guinee,Kankan,Mandiana,Faralako, Niantanina"</f>
        <v>Guinee,Kankan,Mandiana,Faralako, Niantanina</v>
      </c>
    </row>
    <row r="291" spans="2:14" ht="27" x14ac:dyDescent="0.15">
      <c r="B291" s="295" t="str">
        <f>"22935"</f>
        <v>22935</v>
      </c>
      <c r="C291" s="295" t="str">
        <f>"A2020/2263/MMG/SGG"</f>
        <v>A2020/2263/MMG/SGG</v>
      </c>
      <c r="D291" s="296" t="s">
        <v>1878</v>
      </c>
      <c r="E291" s="295" t="s">
        <v>154</v>
      </c>
      <c r="F291" s="295" t="s">
        <v>644</v>
      </c>
      <c r="G291" s="295" t="s">
        <v>1565</v>
      </c>
      <c r="H291" s="295" t="s">
        <v>1565</v>
      </c>
      <c r="I291" s="297">
        <v>44027.703402777777</v>
      </c>
      <c r="J291" s="297">
        <v>44048</v>
      </c>
      <c r="K291" s="297">
        <v>45142</v>
      </c>
      <c r="L291" s="297">
        <v>44008</v>
      </c>
      <c r="M291" s="298" t="s">
        <v>2057</v>
      </c>
      <c r="N291" s="296" t="str">
        <f>"Guinee,Kankan,Kerouane,Damaro, Konsankoro"</f>
        <v>Guinee,Kankan,Kerouane,Damaro, Konsankoro</v>
      </c>
    </row>
    <row r="292" spans="2:14" ht="27" x14ac:dyDescent="0.15">
      <c r="B292" s="295" t="str">
        <f>"22944"</f>
        <v>22944</v>
      </c>
      <c r="C292" s="295" t="str">
        <f>"A2020/2262/MMG/SGG"</f>
        <v>A2020/2262/MMG/SGG</v>
      </c>
      <c r="D292" s="296" t="s">
        <v>2058</v>
      </c>
      <c r="E292" s="295" t="s">
        <v>1813</v>
      </c>
      <c r="F292" s="295" t="s">
        <v>1758</v>
      </c>
      <c r="G292" s="295" t="s">
        <v>1565</v>
      </c>
      <c r="H292" s="295" t="s">
        <v>1565</v>
      </c>
      <c r="I292" s="297">
        <v>44033.401180555556</v>
      </c>
      <c r="J292" s="297">
        <v>44048</v>
      </c>
      <c r="K292" s="297">
        <v>45142</v>
      </c>
      <c r="L292" s="297">
        <v>43993</v>
      </c>
      <c r="M292" s="298" t="s">
        <v>2059</v>
      </c>
      <c r="N292" s="296" t="str">
        <f>"Guinee,Boke,Boffa,Koba_Tatéma; Kindia,Dubreka,Khorira"</f>
        <v>Guinee,Boke,Boffa,Koba_Tatéma; Kindia,Dubreka,Khorira</v>
      </c>
    </row>
    <row r="293" spans="2:14" ht="18.75" x14ac:dyDescent="0.15">
      <c r="B293" s="295" t="str">
        <f>"22931"</f>
        <v>22931</v>
      </c>
      <c r="C293" s="295" t="str">
        <f>"A2020/2261/MMG/SGG"</f>
        <v>A2020/2261/MMG/SGG</v>
      </c>
      <c r="D293" s="296" t="s">
        <v>1926</v>
      </c>
      <c r="E293" s="295" t="s">
        <v>154</v>
      </c>
      <c r="F293" s="295" t="s">
        <v>644</v>
      </c>
      <c r="G293" s="295" t="s">
        <v>1565</v>
      </c>
      <c r="H293" s="295" t="s">
        <v>1565</v>
      </c>
      <c r="I293" s="297">
        <v>44015.483634259261</v>
      </c>
      <c r="J293" s="297">
        <v>44048</v>
      </c>
      <c r="K293" s="297">
        <v>45142</v>
      </c>
      <c r="L293" s="297">
        <v>43997</v>
      </c>
      <c r="M293" s="298" t="s">
        <v>2060</v>
      </c>
      <c r="N293" s="296" t="str">
        <f>"Guinee,Kankan,Mandiana,Dialokoro, Kiniéran, Koundianakoro"</f>
        <v>Guinee,Kankan,Mandiana,Dialokoro, Kiniéran, Koundianakoro</v>
      </c>
    </row>
    <row r="294" spans="2:14" ht="18.75" x14ac:dyDescent="0.15">
      <c r="B294" s="295" t="str">
        <f>"22926"</f>
        <v>22926</v>
      </c>
      <c r="C294" s="295" t="str">
        <f>"A2020/2259/MMG/SGG"</f>
        <v>A2020/2259/MMG/SGG</v>
      </c>
      <c r="D294" s="296" t="s">
        <v>1896</v>
      </c>
      <c r="E294" s="295" t="s">
        <v>154</v>
      </c>
      <c r="F294" s="295" t="s">
        <v>644</v>
      </c>
      <c r="G294" s="295" t="s">
        <v>1565</v>
      </c>
      <c r="H294" s="295" t="s">
        <v>1565</v>
      </c>
      <c r="I294" s="297">
        <v>44006.511921296296</v>
      </c>
      <c r="J294" s="297">
        <v>44048</v>
      </c>
      <c r="K294" s="297">
        <v>45142</v>
      </c>
      <c r="L294" s="297">
        <v>43984</v>
      </c>
      <c r="M294" s="298" t="s">
        <v>2061</v>
      </c>
      <c r="N294" s="296" t="str">
        <f>"Guinee,Labe,Mali,Balaki"</f>
        <v>Guinee,Labe,Mali,Balaki</v>
      </c>
    </row>
    <row r="295" spans="2:14" ht="18.75" x14ac:dyDescent="0.15">
      <c r="B295" s="295" t="str">
        <f>"22925"</f>
        <v>22925</v>
      </c>
      <c r="C295" s="295" t="str">
        <f>"A2020/2258/MMG/SGG"</f>
        <v>A2020/2258/MMG/SGG</v>
      </c>
      <c r="D295" s="296" t="s">
        <v>1896</v>
      </c>
      <c r="E295" s="295" t="s">
        <v>154</v>
      </c>
      <c r="F295" s="295" t="s">
        <v>644</v>
      </c>
      <c r="G295" s="295" t="s">
        <v>1565</v>
      </c>
      <c r="H295" s="295" t="s">
        <v>1565</v>
      </c>
      <c r="I295" s="297">
        <v>44006.496400462966</v>
      </c>
      <c r="J295" s="297">
        <v>44048</v>
      </c>
      <c r="K295" s="297">
        <v>45142</v>
      </c>
      <c r="L295" s="297">
        <v>43984</v>
      </c>
      <c r="M295" s="298" t="s">
        <v>2062</v>
      </c>
      <c r="N295" s="296" t="str">
        <f>"Guinee,Labe,Mali,Balaki"</f>
        <v>Guinee,Labe,Mali,Balaki</v>
      </c>
    </row>
    <row r="296" spans="2:14" ht="27" x14ac:dyDescent="0.15">
      <c r="B296" s="295" t="str">
        <f>"22947"</f>
        <v>22947</v>
      </c>
      <c r="C296" s="295" t="str">
        <f>"A2020/2247/MMG/SGG"</f>
        <v>A2020/2247/MMG/SGG</v>
      </c>
      <c r="D296" s="296" t="s">
        <v>1619</v>
      </c>
      <c r="E296" s="295" t="s">
        <v>1794</v>
      </c>
      <c r="F296" s="295" t="s">
        <v>1594</v>
      </c>
      <c r="G296" s="295" t="s">
        <v>1565</v>
      </c>
      <c r="H296" s="295" t="s">
        <v>1565</v>
      </c>
      <c r="I296" s="297">
        <v>44033.704502314817</v>
      </c>
      <c r="J296" s="297">
        <v>44047</v>
      </c>
      <c r="K296" s="297">
        <v>45141</v>
      </c>
      <c r="L296" s="297">
        <v>43966</v>
      </c>
      <c r="M296" s="298" t="s">
        <v>2063</v>
      </c>
      <c r="N296" s="296" t="str">
        <f>"Guinee,Kindia,Forecariah,Farmoriah, Kaliah, Moussayah"</f>
        <v>Guinee,Kindia,Forecariah,Farmoriah, Kaliah, Moussayah</v>
      </c>
    </row>
    <row r="297" spans="2:14" ht="27" x14ac:dyDescent="0.15">
      <c r="B297" s="295" t="str">
        <f>"22949"</f>
        <v>22949</v>
      </c>
      <c r="C297" s="295" t="str">
        <f>"A2020/2246/MMG/SGG"</f>
        <v>A2020/2246/MMG/SGG</v>
      </c>
      <c r="D297" s="296" t="s">
        <v>1619</v>
      </c>
      <c r="E297" s="295" t="s">
        <v>1794</v>
      </c>
      <c r="F297" s="295" t="s">
        <v>1594</v>
      </c>
      <c r="G297" s="295" t="s">
        <v>1565</v>
      </c>
      <c r="H297" s="295" t="s">
        <v>1565</v>
      </c>
      <c r="I297" s="297">
        <v>44033.724780092591</v>
      </c>
      <c r="J297" s="297">
        <v>44047</v>
      </c>
      <c r="K297" s="297">
        <v>45141</v>
      </c>
      <c r="L297" s="297">
        <v>43966</v>
      </c>
      <c r="M297" s="298" t="s">
        <v>2064</v>
      </c>
      <c r="N297" s="296" t="str">
        <f>"Guinee,Kindia,Forecariah,Allassoyah, Moussayah, Sikhourou; Kindia,Friguiagbé, Kindia-centre, Madina-Oula, Mambia, Molota"</f>
        <v>Guinee,Kindia,Forecariah,Allassoyah, Moussayah, Sikhourou; Kindia,Friguiagbé, Kindia-centre, Madina-Oula, Mambia, Molota</v>
      </c>
    </row>
    <row r="298" spans="2:14" ht="27" x14ac:dyDescent="0.15">
      <c r="B298" s="295" t="str">
        <f>"22946"</f>
        <v>22946</v>
      </c>
      <c r="C298" s="295" t="str">
        <f>"A2020/2244/MMG/SGG"</f>
        <v>A2020/2244/MMG/SGG</v>
      </c>
      <c r="D298" s="296" t="s">
        <v>1619</v>
      </c>
      <c r="E298" s="295" t="s">
        <v>1794</v>
      </c>
      <c r="F298" s="295" t="s">
        <v>1594</v>
      </c>
      <c r="G298" s="295" t="s">
        <v>1565</v>
      </c>
      <c r="H298" s="295" t="s">
        <v>1565</v>
      </c>
      <c r="I298" s="297">
        <v>44033.686863425923</v>
      </c>
      <c r="J298" s="297">
        <v>44047</v>
      </c>
      <c r="K298" s="297">
        <v>45141</v>
      </c>
      <c r="L298" s="297">
        <v>43966</v>
      </c>
      <c r="M298" s="298" t="s">
        <v>2065</v>
      </c>
      <c r="N298" s="296" t="str">
        <f>"Guinee,Kindia,Forecariah,Allassoyah, Moussayah, Sikhourou"</f>
        <v>Guinee,Kindia,Forecariah,Allassoyah, Moussayah, Sikhourou</v>
      </c>
    </row>
    <row r="299" spans="2:14" ht="18.75" x14ac:dyDescent="0.15">
      <c r="B299" s="295" t="str">
        <f>"22282"</f>
        <v>22282</v>
      </c>
      <c r="C299" s="295" t="str">
        <f>"A2020/2075/MMG/SGG"</f>
        <v>A2020/2075/MMG/SGG</v>
      </c>
      <c r="D299" s="296" t="s">
        <v>2066</v>
      </c>
      <c r="E299" s="295" t="s">
        <v>254</v>
      </c>
      <c r="F299" s="295" t="s">
        <v>1568</v>
      </c>
      <c r="G299" s="295" t="s">
        <v>1565</v>
      </c>
      <c r="H299" s="295" t="s">
        <v>1873</v>
      </c>
      <c r="I299" s="297">
        <v>43081.662893518522</v>
      </c>
      <c r="J299" s="297">
        <v>43098</v>
      </c>
      <c r="K299" s="297">
        <v>44384</v>
      </c>
      <c r="L299" s="297">
        <v>43077</v>
      </c>
      <c r="M299" s="298" t="s">
        <v>2067</v>
      </c>
      <c r="N299" s="296" t="str">
        <f>"Guinee,Kindia,Telimele,Koba, Missira"</f>
        <v>Guinee,Kindia,Telimele,Koba, Missira</v>
      </c>
    </row>
    <row r="300" spans="2:14" ht="18.75" x14ac:dyDescent="0.15">
      <c r="B300" s="295" t="str">
        <f>"22196"</f>
        <v>22196</v>
      </c>
      <c r="C300" s="295" t="str">
        <f>"A2020/2071/MMG/SGG"</f>
        <v>A2020/2071/MMG/SGG</v>
      </c>
      <c r="D300" s="296" t="s">
        <v>2068</v>
      </c>
      <c r="E300" s="295" t="s">
        <v>154</v>
      </c>
      <c r="F300" s="295" t="s">
        <v>644</v>
      </c>
      <c r="G300" s="295" t="s">
        <v>1565</v>
      </c>
      <c r="H300" s="295" t="s">
        <v>1873</v>
      </c>
      <c r="I300" s="297">
        <v>42955.620462962965</v>
      </c>
      <c r="J300" s="297">
        <v>42970</v>
      </c>
      <c r="K300" s="297">
        <v>44749</v>
      </c>
      <c r="L300" s="297">
        <v>42949</v>
      </c>
      <c r="M300" s="298" t="s">
        <v>2069</v>
      </c>
      <c r="N300" s="296" t="str">
        <f>"Guinee,Kankan,Siguiri,Bankon, Doko"</f>
        <v>Guinee,Kankan,Siguiri,Bankon, Doko</v>
      </c>
    </row>
    <row r="301" spans="2:14" ht="27" x14ac:dyDescent="0.15">
      <c r="B301" s="295" t="str">
        <f>"22164"</f>
        <v>22164</v>
      </c>
      <c r="C301" s="295" t="str">
        <f>"A2020/2070/MMG/SGG"</f>
        <v>A2020/2070/MMG/SGG</v>
      </c>
      <c r="D301" s="296" t="s">
        <v>2070</v>
      </c>
      <c r="E301" s="295" t="s">
        <v>154</v>
      </c>
      <c r="F301" s="295" t="s">
        <v>644</v>
      </c>
      <c r="G301" s="295" t="s">
        <v>1565</v>
      </c>
      <c r="H301" s="295" t="s">
        <v>1565</v>
      </c>
      <c r="I301" s="297">
        <v>42914.560844907406</v>
      </c>
      <c r="J301" s="297">
        <v>42935</v>
      </c>
      <c r="K301" s="297">
        <v>44749</v>
      </c>
      <c r="L301" s="297">
        <v>42878</v>
      </c>
      <c r="M301" s="298" t="s">
        <v>2071</v>
      </c>
      <c r="N301" s="296" t="str">
        <f>"Guinee,Kankan,Siguiri,Niagassola"</f>
        <v>Guinee,Kankan,Siguiri,Niagassola</v>
      </c>
    </row>
    <row r="302" spans="2:14" ht="27" x14ac:dyDescent="0.15">
      <c r="B302" s="295" t="str">
        <f>"22929"</f>
        <v>22929</v>
      </c>
      <c r="C302" s="295" t="str">
        <f>"A2020/2068/MMG/SGG"</f>
        <v>A2020/2068/MMG/SGG</v>
      </c>
      <c r="D302" s="296" t="s">
        <v>2072</v>
      </c>
      <c r="E302" s="295" t="s">
        <v>154</v>
      </c>
      <c r="F302" s="295" t="s">
        <v>644</v>
      </c>
      <c r="G302" s="295" t="s">
        <v>1565</v>
      </c>
      <c r="H302" s="295" t="s">
        <v>1565</v>
      </c>
      <c r="I302" s="297">
        <v>44013.490069444444</v>
      </c>
      <c r="J302" s="297">
        <v>44019</v>
      </c>
      <c r="K302" s="297">
        <v>45113</v>
      </c>
      <c r="L302" s="297">
        <v>44004</v>
      </c>
      <c r="M302" s="298" t="s">
        <v>2073</v>
      </c>
      <c r="N302" s="296" t="str">
        <f>"Guinee,Kankan,Siguiri,Niagassola"</f>
        <v>Guinee,Kankan,Siguiri,Niagassola</v>
      </c>
    </row>
    <row r="303" spans="2:14" ht="27" x14ac:dyDescent="0.15">
      <c r="B303" s="295" t="str">
        <f>"22919"</f>
        <v>22919</v>
      </c>
      <c r="C303" s="295" t="str">
        <f>"A2020/2067/MMG/SGG"</f>
        <v>A2020/2067/MMG/SGG</v>
      </c>
      <c r="D303" s="296" t="s">
        <v>2074</v>
      </c>
      <c r="E303" s="295" t="s">
        <v>154</v>
      </c>
      <c r="F303" s="295" t="s">
        <v>644</v>
      </c>
      <c r="G303" s="295" t="s">
        <v>1565</v>
      </c>
      <c r="H303" s="295" t="s">
        <v>1565</v>
      </c>
      <c r="I303" s="297">
        <v>43999.439791666664</v>
      </c>
      <c r="J303" s="297">
        <v>44050</v>
      </c>
      <c r="K303" s="297">
        <v>45144</v>
      </c>
      <c r="L303" s="297">
        <v>43906</v>
      </c>
      <c r="M303" s="298" t="s">
        <v>2075</v>
      </c>
      <c r="N303" s="296" t="str">
        <f>"Guinee,Kankan,Siguiri,Norassoba"</f>
        <v>Guinee,Kankan,Siguiri,Norassoba</v>
      </c>
    </row>
    <row r="304" spans="2:14" ht="27" x14ac:dyDescent="0.15">
      <c r="B304" s="295" t="str">
        <f>"22915"</f>
        <v>22915</v>
      </c>
      <c r="C304" s="295" t="str">
        <f>"A2020/2066/MMG/SGG"</f>
        <v>A2020/2066/MMG/SGG</v>
      </c>
      <c r="D304" s="296" t="s">
        <v>2074</v>
      </c>
      <c r="E304" s="295" t="s">
        <v>154</v>
      </c>
      <c r="F304" s="295" t="s">
        <v>644</v>
      </c>
      <c r="G304" s="295" t="s">
        <v>1565</v>
      </c>
      <c r="H304" s="295" t="s">
        <v>1565</v>
      </c>
      <c r="I304" s="297">
        <v>43994.450381944444</v>
      </c>
      <c r="J304" s="297">
        <v>44050</v>
      </c>
      <c r="K304" s="297">
        <v>45144</v>
      </c>
      <c r="L304" s="297">
        <v>43906</v>
      </c>
      <c r="M304" s="298" t="s">
        <v>2076</v>
      </c>
      <c r="N304" s="296" t="str">
        <f>"Guinee,Kankan,Siguiri,Norassoba"</f>
        <v>Guinee,Kankan,Siguiri,Norassoba</v>
      </c>
    </row>
    <row r="305" spans="2:14" ht="27" x14ac:dyDescent="0.15">
      <c r="B305" s="295" t="str">
        <f>"22922"</f>
        <v>22922</v>
      </c>
      <c r="C305" s="295" t="str">
        <f>"A2020/2064/MMG/SGG"</f>
        <v>A2020/2064/MMG/SGG</v>
      </c>
      <c r="D305" s="296" t="s">
        <v>2077</v>
      </c>
      <c r="E305" s="295" t="s">
        <v>254</v>
      </c>
      <c r="F305" s="295" t="s">
        <v>1568</v>
      </c>
      <c r="G305" s="295" t="s">
        <v>1565</v>
      </c>
      <c r="H305" s="295" t="s">
        <v>1565</v>
      </c>
      <c r="I305" s="297">
        <v>44005.390347222223</v>
      </c>
      <c r="J305" s="297">
        <v>44019</v>
      </c>
      <c r="K305" s="297">
        <v>45113</v>
      </c>
      <c r="L305" s="297">
        <v>43986</v>
      </c>
      <c r="M305" s="298" t="s">
        <v>2078</v>
      </c>
      <c r="N305" s="296" t="str">
        <f>"Guinee,Boke,Boffa,Kolia, Mankountan, Tougnifily; Boke,Bintimodia, Malapouyah"</f>
        <v>Guinee,Boke,Boffa,Kolia, Mankountan, Tougnifily; Boke,Bintimodia, Malapouyah</v>
      </c>
    </row>
    <row r="306" spans="2:14" ht="18.75" x14ac:dyDescent="0.15">
      <c r="B306" s="295" t="str">
        <f>"22907"</f>
        <v>22907</v>
      </c>
      <c r="C306" s="295" t="str">
        <f>"A2020/2063/MMG/SGG"</f>
        <v>A2020/2063/MMG/SGG</v>
      </c>
      <c r="D306" s="296" t="s">
        <v>2079</v>
      </c>
      <c r="E306" s="295" t="s">
        <v>154</v>
      </c>
      <c r="F306" s="295" t="s">
        <v>644</v>
      </c>
      <c r="G306" s="295" t="s">
        <v>1565</v>
      </c>
      <c r="H306" s="295" t="s">
        <v>1565</v>
      </c>
      <c r="I306" s="297">
        <v>43987.456689814811</v>
      </c>
      <c r="J306" s="297">
        <v>44019</v>
      </c>
      <c r="K306" s="297">
        <v>45113</v>
      </c>
      <c r="L306" s="297">
        <v>43902</v>
      </c>
      <c r="M306" s="298" t="s">
        <v>2080</v>
      </c>
      <c r="N306" s="296" t="str">
        <f>"Guinee,Kankan,Siguiri,Niagassola"</f>
        <v>Guinee,Kankan,Siguiri,Niagassola</v>
      </c>
    </row>
    <row r="307" spans="2:14" ht="18.75" x14ac:dyDescent="0.15">
      <c r="B307" s="295" t="str">
        <f>"22908"</f>
        <v>22908</v>
      </c>
      <c r="C307" s="295" t="str">
        <f>"A2020/2062/MMG/SGG"</f>
        <v>A2020/2062/MMG/SGG</v>
      </c>
      <c r="D307" s="296" t="s">
        <v>2079</v>
      </c>
      <c r="E307" s="295" t="s">
        <v>154</v>
      </c>
      <c r="F307" s="295" t="s">
        <v>644</v>
      </c>
      <c r="G307" s="295" t="s">
        <v>1565</v>
      </c>
      <c r="H307" s="295" t="s">
        <v>1565</v>
      </c>
      <c r="I307" s="297">
        <v>43987.490231481483</v>
      </c>
      <c r="J307" s="297">
        <v>44019</v>
      </c>
      <c r="K307" s="297">
        <v>45113</v>
      </c>
      <c r="L307" s="297">
        <v>43902</v>
      </c>
      <c r="M307" s="298" t="s">
        <v>2081</v>
      </c>
      <c r="N307" s="296" t="str">
        <f>"Guinee,Kankan,Siguiri,Naboun, Niagassola"</f>
        <v>Guinee,Kankan,Siguiri,Naboun, Niagassola</v>
      </c>
    </row>
    <row r="308" spans="2:14" ht="27" x14ac:dyDescent="0.15">
      <c r="B308" s="295" t="str">
        <f>"22921"</f>
        <v>22921</v>
      </c>
      <c r="C308" s="295" t="str">
        <f>"A2020/2059/MMG/SGG"</f>
        <v>A2020/2059/MMG/SGG</v>
      </c>
      <c r="D308" s="296" t="s">
        <v>2082</v>
      </c>
      <c r="E308" s="295" t="s">
        <v>254</v>
      </c>
      <c r="F308" s="295" t="s">
        <v>1568</v>
      </c>
      <c r="G308" s="295" t="s">
        <v>1565</v>
      </c>
      <c r="H308" s="295" t="s">
        <v>1565</v>
      </c>
      <c r="I308" s="297">
        <v>44000.592719907407</v>
      </c>
      <c r="J308" s="297">
        <v>44019</v>
      </c>
      <c r="K308" s="297">
        <v>45113</v>
      </c>
      <c r="L308" s="297">
        <v>43997</v>
      </c>
      <c r="M308" s="298" t="s">
        <v>2083</v>
      </c>
      <c r="N308" s="296" t="str">
        <f>"Guinee,Labe,Koubia,Fafaya, Koubia-centre; Tougue,Kollet, Konah, Kouratongo, Tougué-centre"</f>
        <v>Guinee,Labe,Koubia,Fafaya, Koubia-centre; Tougue,Kollet, Konah, Kouratongo, Tougué-centre</v>
      </c>
    </row>
    <row r="309" spans="2:14" x14ac:dyDescent="0.15">
      <c r="B309" s="295" t="str">
        <f>"22910"</f>
        <v>22910</v>
      </c>
      <c r="C309" s="295" t="str">
        <f>"A2020/1920/MMG/SGG"</f>
        <v>A2020/1920/MMG/SGG</v>
      </c>
      <c r="D309" s="296" t="s">
        <v>2084</v>
      </c>
      <c r="E309" s="295" t="s">
        <v>78</v>
      </c>
      <c r="F309" s="295" t="s">
        <v>1769</v>
      </c>
      <c r="G309" s="295" t="s">
        <v>1565</v>
      </c>
      <c r="H309" s="295" t="s">
        <v>1565</v>
      </c>
      <c r="I309" s="297">
        <v>43991.467418981483</v>
      </c>
      <c r="J309" s="297">
        <v>44000</v>
      </c>
      <c r="K309" s="297">
        <v>44729</v>
      </c>
      <c r="L309" s="297">
        <v>43949</v>
      </c>
      <c r="M309" s="298" t="s">
        <v>2085</v>
      </c>
      <c r="N309" s="296" t="str">
        <f>"Guinee,Kindia,Dubreka,Khorira"</f>
        <v>Guinee,Kindia,Dubreka,Khorira</v>
      </c>
    </row>
    <row r="310" spans="2:14" ht="18.75" x14ac:dyDescent="0.15">
      <c r="B310" s="295" t="str">
        <f>"22905"</f>
        <v>22905</v>
      </c>
      <c r="C310" s="295" t="str">
        <f>"A2020/1839/MMG/SGG"</f>
        <v>A2020/1839/MMG/SGG</v>
      </c>
      <c r="D310" s="296" t="s">
        <v>2086</v>
      </c>
      <c r="E310" s="295" t="s">
        <v>154</v>
      </c>
      <c r="F310" s="295" t="s">
        <v>644</v>
      </c>
      <c r="G310" s="295" t="s">
        <v>1565</v>
      </c>
      <c r="H310" s="295" t="s">
        <v>1565</v>
      </c>
      <c r="I310" s="297">
        <v>43985.715717592589</v>
      </c>
      <c r="J310" s="297">
        <v>43993</v>
      </c>
      <c r="K310" s="297">
        <v>45087</v>
      </c>
      <c r="L310" s="297">
        <v>43937</v>
      </c>
      <c r="M310" s="298" t="s">
        <v>2087</v>
      </c>
      <c r="N310" s="296" t="str">
        <f>"Guinee,Kankan,Kouroussa,Sanguiana"</f>
        <v>Guinee,Kankan,Kouroussa,Sanguiana</v>
      </c>
    </row>
    <row r="311" spans="2:14" ht="27" x14ac:dyDescent="0.15">
      <c r="B311" s="295" t="str">
        <f>"22901"</f>
        <v>22901</v>
      </c>
      <c r="C311" s="295" t="str">
        <f>"A2020/1838/MMG/SGG"</f>
        <v>A2020/1838/MMG/SGG</v>
      </c>
      <c r="D311" s="296" t="s">
        <v>2088</v>
      </c>
      <c r="E311" s="295" t="s">
        <v>1813</v>
      </c>
      <c r="F311" s="295" t="s">
        <v>1758</v>
      </c>
      <c r="G311" s="295" t="s">
        <v>1565</v>
      </c>
      <c r="H311" s="295" t="s">
        <v>1565</v>
      </c>
      <c r="I311" s="297">
        <v>43985.595694444448</v>
      </c>
      <c r="J311" s="297">
        <v>43993</v>
      </c>
      <c r="K311" s="297">
        <v>45087</v>
      </c>
      <c r="L311" s="297">
        <v>43962</v>
      </c>
      <c r="M311" s="298" t="s">
        <v>2089</v>
      </c>
      <c r="N311" s="296" t="str">
        <f>"Guinee,Boke,Boffa,Koba_Tatéma, Tamita"</f>
        <v>Guinee,Boke,Boffa,Koba_Tatéma, Tamita</v>
      </c>
    </row>
    <row r="312" spans="2:14" ht="27" x14ac:dyDescent="0.15">
      <c r="B312" s="295" t="str">
        <f>"22893"</f>
        <v>22893</v>
      </c>
      <c r="C312" s="295" t="str">
        <f>"A2020/1837/MMG/SGG"</f>
        <v>A2020/1837/MMG/SGG</v>
      </c>
      <c r="D312" s="296" t="s">
        <v>2090</v>
      </c>
      <c r="E312" s="295" t="s">
        <v>154</v>
      </c>
      <c r="F312" s="295" t="s">
        <v>644</v>
      </c>
      <c r="G312" s="295" t="s">
        <v>1565</v>
      </c>
      <c r="H312" s="295" t="s">
        <v>1565</v>
      </c>
      <c r="I312" s="297">
        <v>43983.602500000001</v>
      </c>
      <c r="J312" s="297">
        <v>43993</v>
      </c>
      <c r="K312" s="297">
        <v>45087</v>
      </c>
      <c r="L312" s="297">
        <v>43978</v>
      </c>
      <c r="M312" s="298" t="s">
        <v>2091</v>
      </c>
      <c r="N312" s="296" t="str">
        <f>"Guinee,Faranah,Dinguiraye,Diatiféré, Dinguiraye-cent, Gagnakaly"</f>
        <v>Guinee,Faranah,Dinguiraye,Diatiféré, Dinguiraye-cent, Gagnakaly</v>
      </c>
    </row>
    <row r="313" spans="2:14" ht="27" x14ac:dyDescent="0.15">
      <c r="B313" s="295" t="str">
        <f>"22892"</f>
        <v>22892</v>
      </c>
      <c r="C313" s="295" t="str">
        <f>"A2020/1836/MMG/SGG"</f>
        <v>A2020/1836/MMG/SGG</v>
      </c>
      <c r="D313" s="296" t="s">
        <v>2090</v>
      </c>
      <c r="E313" s="295" t="s">
        <v>154</v>
      </c>
      <c r="F313" s="295" t="s">
        <v>644</v>
      </c>
      <c r="G313" s="295" t="s">
        <v>1565</v>
      </c>
      <c r="H313" s="295" t="s">
        <v>1565</v>
      </c>
      <c r="I313" s="297">
        <v>43983.566099537034</v>
      </c>
      <c r="J313" s="297">
        <v>43993</v>
      </c>
      <c r="K313" s="297">
        <v>45087</v>
      </c>
      <c r="L313" s="297">
        <v>43978</v>
      </c>
      <c r="M313" s="298" t="s">
        <v>2092</v>
      </c>
      <c r="N313" s="296" t="str">
        <f>"Guinee,Faranah,Dinguiraye,Banora, Dinguiraye-cent"</f>
        <v>Guinee,Faranah,Dinguiraye,Banora, Dinguiraye-cent</v>
      </c>
    </row>
    <row r="314" spans="2:14" ht="18.75" x14ac:dyDescent="0.15">
      <c r="B314" s="295" t="str">
        <f>"22902"</f>
        <v>22902</v>
      </c>
      <c r="C314" s="295" t="str">
        <f>"A2020/1835/MMG/SGG"</f>
        <v>A2020/1835/MMG/SGG</v>
      </c>
      <c r="D314" s="296" t="s">
        <v>2093</v>
      </c>
      <c r="E314" s="295" t="s">
        <v>154</v>
      </c>
      <c r="F314" s="295" t="s">
        <v>644</v>
      </c>
      <c r="G314" s="295" t="s">
        <v>1565</v>
      </c>
      <c r="H314" s="295" t="s">
        <v>1565</v>
      </c>
      <c r="I314" s="297">
        <v>43985.629421296297</v>
      </c>
      <c r="J314" s="297">
        <v>43993</v>
      </c>
      <c r="K314" s="297">
        <v>45087</v>
      </c>
      <c r="L314" s="297">
        <v>43936</v>
      </c>
      <c r="M314" s="298" t="s">
        <v>2094</v>
      </c>
      <c r="N314" s="296" t="str">
        <f>"Guinee,Kankan,Kouroussa,Kouroussa-centre, Sanguiana"</f>
        <v>Guinee,Kankan,Kouroussa,Kouroussa-centre, Sanguiana</v>
      </c>
    </row>
    <row r="315" spans="2:14" ht="27" x14ac:dyDescent="0.15">
      <c r="B315" s="295" t="str">
        <f>"22882"</f>
        <v>22882</v>
      </c>
      <c r="C315" s="295" t="str">
        <f>"A2020/1829/MMG/SGG"</f>
        <v>A2020/1829/MMG/SGG</v>
      </c>
      <c r="D315" s="296" t="s">
        <v>2095</v>
      </c>
      <c r="E315" s="295" t="s">
        <v>154</v>
      </c>
      <c r="F315" s="295" t="s">
        <v>644</v>
      </c>
      <c r="G315" s="295" t="s">
        <v>1565</v>
      </c>
      <c r="H315" s="295" t="s">
        <v>1565</v>
      </c>
      <c r="I315" s="297">
        <v>43970.445115740738</v>
      </c>
      <c r="J315" s="297">
        <v>43993</v>
      </c>
      <c r="K315" s="297">
        <v>45087</v>
      </c>
      <c r="L315" s="297">
        <v>43938</v>
      </c>
      <c r="M315" s="298" t="s">
        <v>2096</v>
      </c>
      <c r="N315" s="296" t="str">
        <f>"Guinee,Kankan,Mandiana,Faralako"</f>
        <v>Guinee,Kankan,Mandiana,Faralako</v>
      </c>
    </row>
    <row r="316" spans="2:14" ht="18.75" x14ac:dyDescent="0.15">
      <c r="B316" s="295" t="str">
        <f>"22002"</f>
        <v>22002</v>
      </c>
      <c r="C316" s="295" t="str">
        <f>"A2020/1828/MMG/SGG"</f>
        <v>A2020/1828/MMG/SGG</v>
      </c>
      <c r="D316" s="296" t="s">
        <v>2097</v>
      </c>
      <c r="E316" s="295" t="s">
        <v>154</v>
      </c>
      <c r="F316" s="295" t="s">
        <v>644</v>
      </c>
      <c r="G316" s="295" t="s">
        <v>1565</v>
      </c>
      <c r="H316" s="295" t="s">
        <v>1873</v>
      </c>
      <c r="I316" s="297">
        <v>42647.588888888888</v>
      </c>
      <c r="J316" s="297">
        <v>42668</v>
      </c>
      <c r="K316" s="297">
        <v>44723</v>
      </c>
      <c r="L316" s="297">
        <v>42647</v>
      </c>
      <c r="M316" s="298" t="s">
        <v>2098</v>
      </c>
      <c r="N316" s="296" t="str">
        <f>"Guinee,Kankan,Mandiana,Kantoumanina"</f>
        <v>Guinee,Kankan,Mandiana,Kantoumanina</v>
      </c>
    </row>
    <row r="317" spans="2:14" ht="18.75" x14ac:dyDescent="0.15">
      <c r="B317" s="295" t="str">
        <f>"22003"</f>
        <v>22003</v>
      </c>
      <c r="C317" s="295" t="str">
        <f>"A2020/1828"</f>
        <v>A2020/1828</v>
      </c>
      <c r="D317" s="296" t="s">
        <v>2097</v>
      </c>
      <c r="E317" s="295" t="s">
        <v>154</v>
      </c>
      <c r="F317" s="295" t="s">
        <v>644</v>
      </c>
      <c r="G317" s="295" t="s">
        <v>1565</v>
      </c>
      <c r="H317" s="295" t="s">
        <v>1873</v>
      </c>
      <c r="I317" s="297">
        <v>42647.598530092589</v>
      </c>
      <c r="J317" s="297">
        <v>42668</v>
      </c>
      <c r="K317" s="297">
        <v>44723</v>
      </c>
      <c r="L317" s="297">
        <v>42647</v>
      </c>
      <c r="M317" s="298" t="s">
        <v>2099</v>
      </c>
      <c r="N317" s="296" t="str">
        <f>"Guinee,Kankan,Mandiana,Kantoumanina"</f>
        <v>Guinee,Kankan,Mandiana,Kantoumanina</v>
      </c>
    </row>
    <row r="318" spans="2:14" ht="27" x14ac:dyDescent="0.15">
      <c r="B318" s="295" t="str">
        <f>"14997"</f>
        <v>14997</v>
      </c>
      <c r="C318" s="295" t="str">
        <f>"A2020/1824/MMG/SGG"</f>
        <v>A2020/1824/MMG/SGG</v>
      </c>
      <c r="D318" s="296" t="s">
        <v>2100</v>
      </c>
      <c r="E318" s="295" t="s">
        <v>1820</v>
      </c>
      <c r="F318" s="295" t="s">
        <v>640</v>
      </c>
      <c r="G318" s="295" t="s">
        <v>1565</v>
      </c>
      <c r="H318" s="295" t="s">
        <v>1565</v>
      </c>
      <c r="I318" s="297">
        <v>42664.605474537035</v>
      </c>
      <c r="J318" s="297">
        <v>42825</v>
      </c>
      <c r="K318" s="297">
        <v>44358</v>
      </c>
      <c r="L318" s="297">
        <v>41178</v>
      </c>
      <c r="M318" s="298" t="s">
        <v>2101</v>
      </c>
      <c r="N318" s="296" t="str">
        <f>"Guinee,Kankan,Kerouane,Kérouané-centre, Komodou, Soromaya"</f>
        <v>Guinee,Kankan,Kerouane,Kérouané-centre, Komodou, Soromaya</v>
      </c>
    </row>
    <row r="319" spans="2:14" ht="27" x14ac:dyDescent="0.15">
      <c r="B319" s="295" t="str">
        <f>"15030"</f>
        <v>15030</v>
      </c>
      <c r="C319" s="295" t="str">
        <f>"A2020/1823/MMG/SGG"</f>
        <v>A2020/1823/MMG/SGG</v>
      </c>
      <c r="D319" s="296" t="s">
        <v>2102</v>
      </c>
      <c r="E319" s="295" t="s">
        <v>1820</v>
      </c>
      <c r="F319" s="295" t="s">
        <v>640</v>
      </c>
      <c r="G319" s="295" t="s">
        <v>1565</v>
      </c>
      <c r="H319" s="295" t="s">
        <v>1565</v>
      </c>
      <c r="I319" s="297">
        <v>40622</v>
      </c>
      <c r="J319" s="297">
        <v>42825</v>
      </c>
      <c r="K319" s="297">
        <v>45088</v>
      </c>
      <c r="L319" s="297">
        <v>40622</v>
      </c>
      <c r="M319" s="298" t="s">
        <v>2103</v>
      </c>
      <c r="N319" s="296" t="str">
        <f>"Guinee,Kankan,Kerouane,Sibiribaro"</f>
        <v>Guinee,Kankan,Kerouane,Sibiribaro</v>
      </c>
    </row>
    <row r="320" spans="2:14" ht="27" x14ac:dyDescent="0.15">
      <c r="B320" s="295" t="str">
        <f>"22082"</f>
        <v>22082</v>
      </c>
      <c r="C320" s="295" t="str">
        <f>"A2020/1701/MMG/SGG"</f>
        <v>A2020/1701/MMG/SGG</v>
      </c>
      <c r="D320" s="296" t="s">
        <v>2104</v>
      </c>
      <c r="E320" s="295" t="s">
        <v>154</v>
      </c>
      <c r="F320" s="295" t="s">
        <v>644</v>
      </c>
      <c r="G320" s="295" t="s">
        <v>1565</v>
      </c>
      <c r="H320" s="295" t="s">
        <v>1678</v>
      </c>
      <c r="I320" s="297">
        <v>42753.709826388891</v>
      </c>
      <c r="J320" s="297">
        <v>42783</v>
      </c>
      <c r="K320" s="297">
        <v>44714</v>
      </c>
      <c r="L320" s="297">
        <v>42748</v>
      </c>
      <c r="M320" s="298" t="s">
        <v>2105</v>
      </c>
      <c r="N320" s="296" t="str">
        <f>"Guinee,Kankan,Mandiana,Faralako, Mandiana-centre"</f>
        <v>Guinee,Kankan,Mandiana,Faralako, Mandiana-centre</v>
      </c>
    </row>
    <row r="321" spans="2:14" ht="27" x14ac:dyDescent="0.15">
      <c r="B321" s="295" t="str">
        <f>"22080"</f>
        <v>22080</v>
      </c>
      <c r="C321" s="295" t="str">
        <f>"A2020/1700/MMG/SGG"</f>
        <v>A2020/1700/MMG/SGG</v>
      </c>
      <c r="D321" s="296" t="s">
        <v>2104</v>
      </c>
      <c r="E321" s="295" t="s">
        <v>154</v>
      </c>
      <c r="F321" s="295" t="s">
        <v>644</v>
      </c>
      <c r="G321" s="295" t="s">
        <v>1565</v>
      </c>
      <c r="H321" s="295" t="s">
        <v>1678</v>
      </c>
      <c r="I321" s="297">
        <v>42753.660046296296</v>
      </c>
      <c r="J321" s="297">
        <v>42783</v>
      </c>
      <c r="K321" s="297">
        <v>44714</v>
      </c>
      <c r="L321" s="297">
        <v>42748</v>
      </c>
      <c r="M321" s="298" t="s">
        <v>2106</v>
      </c>
      <c r="N321" s="296" t="str">
        <f>"Guinee,Kankan,Mandiana,Kantoumanina"</f>
        <v>Guinee,Kankan,Mandiana,Kantoumanina</v>
      </c>
    </row>
    <row r="322" spans="2:14" ht="27" x14ac:dyDescent="0.15">
      <c r="B322" s="295" t="str">
        <f>"22081"</f>
        <v>22081</v>
      </c>
      <c r="C322" s="295" t="str">
        <f>"A2020/1699/MMG/SGG"</f>
        <v>A2020/1699/MMG/SGG</v>
      </c>
      <c r="D322" s="296" t="s">
        <v>2104</v>
      </c>
      <c r="E322" s="295" t="s">
        <v>154</v>
      </c>
      <c r="F322" s="295" t="s">
        <v>644</v>
      </c>
      <c r="G322" s="295" t="s">
        <v>1565</v>
      </c>
      <c r="H322" s="295" t="s">
        <v>1678</v>
      </c>
      <c r="I322" s="297">
        <v>42753.696562500001</v>
      </c>
      <c r="J322" s="297">
        <v>42783</v>
      </c>
      <c r="K322" s="297">
        <v>44714</v>
      </c>
      <c r="L322" s="297">
        <v>42748</v>
      </c>
      <c r="M322" s="298" t="s">
        <v>2107</v>
      </c>
      <c r="N322" s="296" t="str">
        <f>"Guinee,Kankan,Mandiana,Kantoumanina"</f>
        <v>Guinee,Kankan,Mandiana,Kantoumanina</v>
      </c>
    </row>
    <row r="323" spans="2:14" ht="18.75" x14ac:dyDescent="0.15">
      <c r="B323" s="295" t="str">
        <f>"22878"</f>
        <v>22878</v>
      </c>
      <c r="C323" s="295" t="str">
        <f>"A2020/1698"</f>
        <v>A2020/1698</v>
      </c>
      <c r="D323" s="296" t="s">
        <v>1810</v>
      </c>
      <c r="E323" s="295" t="s">
        <v>254</v>
      </c>
      <c r="F323" s="295" t="s">
        <v>1568</v>
      </c>
      <c r="G323" s="295" t="s">
        <v>1565</v>
      </c>
      <c r="H323" s="295" t="s">
        <v>1565</v>
      </c>
      <c r="I323" s="297">
        <v>43956.502951388888</v>
      </c>
      <c r="J323" s="297">
        <v>43984</v>
      </c>
      <c r="K323" s="297">
        <v>45078</v>
      </c>
      <c r="L323" s="297">
        <v>43950</v>
      </c>
      <c r="M323" s="298" t="s">
        <v>2108</v>
      </c>
      <c r="N323" s="296" t="str">
        <f>"Guinee,Kindia,Kindia,Madina-Oula; Mamou,Mamou,Soyah"</f>
        <v>Guinee,Kindia,Kindia,Madina-Oula; Mamou,Mamou,Soyah</v>
      </c>
    </row>
    <row r="324" spans="2:14" ht="27" x14ac:dyDescent="0.15">
      <c r="B324" s="295" t="str">
        <f>"22889"</f>
        <v>22889</v>
      </c>
      <c r="C324" s="295" t="str">
        <f>"A2020/1696/MMG/SGG"</f>
        <v>A2020/1696/MMG/SGG</v>
      </c>
      <c r="D324" s="296" t="s">
        <v>2109</v>
      </c>
      <c r="E324" s="295" t="s">
        <v>254</v>
      </c>
      <c r="F324" s="295" t="s">
        <v>1568</v>
      </c>
      <c r="G324" s="295" t="s">
        <v>1565</v>
      </c>
      <c r="H324" s="295" t="s">
        <v>1565</v>
      </c>
      <c r="I324" s="297">
        <v>43972.612766203703</v>
      </c>
      <c r="J324" s="297">
        <v>43984</v>
      </c>
      <c r="K324" s="297">
        <v>45078</v>
      </c>
      <c r="L324" s="297">
        <v>43957</v>
      </c>
      <c r="M324" s="298" t="s">
        <v>2110</v>
      </c>
      <c r="N324" s="296" t="str">
        <f>"Guinee,Labe,Tougue,Kolangui; Mamou,Dalaba,Mafara; Mamou,Nyagara, Saramoussayah, Téguéréyah"</f>
        <v>Guinee,Labe,Tougue,Kolangui; Mamou,Dalaba,Mafara; Mamou,Nyagara, Saramoussayah, Téguéréyah</v>
      </c>
    </row>
    <row r="325" spans="2:14" ht="27" x14ac:dyDescent="0.15">
      <c r="B325" s="295" t="str">
        <f>"22884"</f>
        <v>22884</v>
      </c>
      <c r="C325" s="295" t="str">
        <f>"A2020/1695/MMG/SGG"</f>
        <v>A2020/1695/MMG/SGG</v>
      </c>
      <c r="D325" s="296" t="s">
        <v>2111</v>
      </c>
      <c r="E325" s="295" t="s">
        <v>154</v>
      </c>
      <c r="F325" s="295" t="s">
        <v>644</v>
      </c>
      <c r="G325" s="295" t="s">
        <v>1565</v>
      </c>
      <c r="H325" s="295" t="s">
        <v>1565</v>
      </c>
      <c r="I325" s="297">
        <v>43972.389062499999</v>
      </c>
      <c r="J325" s="297">
        <v>43984</v>
      </c>
      <c r="K325" s="297">
        <v>45078</v>
      </c>
      <c r="L325" s="297">
        <v>43969</v>
      </c>
      <c r="M325" s="298" t="s">
        <v>2112</v>
      </c>
      <c r="N325" s="296" t="str">
        <f>"Guinee,Kankan,Kankan,Gbérédou-Barana, Kankan-centre, Karifamoriah, Koumban, Tinti-Oulen"</f>
        <v>Guinee,Kankan,Kankan,Gbérédou-Barana, Kankan-centre, Karifamoriah, Koumban, Tinti-Oulen</v>
      </c>
    </row>
    <row r="326" spans="2:14" ht="18.75" x14ac:dyDescent="0.15">
      <c r="B326" s="295" t="str">
        <f>"22886"</f>
        <v>22886</v>
      </c>
      <c r="C326" s="295" t="str">
        <f>"A2020/1694/MMG/SGG"</f>
        <v>A2020/1694/MMG/SGG</v>
      </c>
      <c r="D326" s="296" t="s">
        <v>2111</v>
      </c>
      <c r="E326" s="295" t="s">
        <v>154</v>
      </c>
      <c r="F326" s="295" t="s">
        <v>644</v>
      </c>
      <c r="G326" s="295" t="s">
        <v>1565</v>
      </c>
      <c r="H326" s="295" t="s">
        <v>1565</v>
      </c>
      <c r="I326" s="297">
        <v>43972.421655092592</v>
      </c>
      <c r="J326" s="297">
        <v>43984</v>
      </c>
      <c r="K326" s="297">
        <v>45078</v>
      </c>
      <c r="L326" s="297">
        <v>43969</v>
      </c>
      <c r="M326" s="298" t="s">
        <v>2113</v>
      </c>
      <c r="N326" s="296" t="str">
        <f>"Guinee,Kankan,Siguiri,Niandankoro"</f>
        <v>Guinee,Kankan,Siguiri,Niandankoro</v>
      </c>
    </row>
    <row r="327" spans="2:14" ht="27" x14ac:dyDescent="0.15">
      <c r="B327" s="295" t="str">
        <f>"22865"</f>
        <v>22865</v>
      </c>
      <c r="C327" s="295" t="str">
        <f>"A2020/1533/MMG/SGG"</f>
        <v>A2020/1533/MMG/SGG</v>
      </c>
      <c r="D327" s="296" t="s">
        <v>196</v>
      </c>
      <c r="E327" s="295" t="s">
        <v>78</v>
      </c>
      <c r="F327" s="295" t="s">
        <v>1769</v>
      </c>
      <c r="G327" s="295" t="s">
        <v>1565</v>
      </c>
      <c r="H327" s="295" t="s">
        <v>1678</v>
      </c>
      <c r="I327" s="297">
        <v>43936.607638888891</v>
      </c>
      <c r="J327" s="297">
        <v>43966</v>
      </c>
      <c r="K327" s="297">
        <v>44695</v>
      </c>
      <c r="L327" s="297">
        <v>43914</v>
      </c>
      <c r="M327" s="298" t="s">
        <v>2114</v>
      </c>
      <c r="N327" s="296" t="str">
        <f>"Guinee,Kindia,Dubreka,Khorira"</f>
        <v>Guinee,Kindia,Dubreka,Khorira</v>
      </c>
    </row>
    <row r="328" spans="2:14" x14ac:dyDescent="0.15">
      <c r="B328" s="295" t="str">
        <f>"22864"</f>
        <v>22864</v>
      </c>
      <c r="C328" s="295" t="str">
        <f>"A2020/1532/MMG/SGG"</f>
        <v>A2020/1532/MMG/SGG</v>
      </c>
      <c r="D328" s="296" t="s">
        <v>2115</v>
      </c>
      <c r="E328" s="295" t="s">
        <v>78</v>
      </c>
      <c r="F328" s="295" t="s">
        <v>1769</v>
      </c>
      <c r="G328" s="295" t="s">
        <v>1565</v>
      </c>
      <c r="H328" s="295" t="s">
        <v>1565</v>
      </c>
      <c r="I328" s="297">
        <v>43936.481504629628</v>
      </c>
      <c r="J328" s="297">
        <v>43966</v>
      </c>
      <c r="K328" s="297">
        <v>44695</v>
      </c>
      <c r="L328" s="297">
        <v>43837</v>
      </c>
      <c r="M328" s="298" t="s">
        <v>2116</v>
      </c>
      <c r="N328" s="296" t="str">
        <f>"Guinee,Kindia,Coyah,Kouria"</f>
        <v>Guinee,Kindia,Coyah,Kouria</v>
      </c>
    </row>
    <row r="329" spans="2:14" x14ac:dyDescent="0.15">
      <c r="B329" s="295" t="str">
        <f>"22875"</f>
        <v>22875</v>
      </c>
      <c r="C329" s="295" t="str">
        <f>"A2020/1531/MMG/SGG"</f>
        <v>A2020/1531/MMG/SGG</v>
      </c>
      <c r="D329" s="296" t="s">
        <v>2117</v>
      </c>
      <c r="E329" s="295" t="s">
        <v>78</v>
      </c>
      <c r="F329" s="295" t="s">
        <v>1769</v>
      </c>
      <c r="G329" s="295" t="s">
        <v>1565</v>
      </c>
      <c r="H329" s="295" t="s">
        <v>1565</v>
      </c>
      <c r="I329" s="297">
        <v>43948.611805555556</v>
      </c>
      <c r="J329" s="297">
        <v>43966</v>
      </c>
      <c r="K329" s="297">
        <v>44695</v>
      </c>
      <c r="L329" s="297">
        <v>43838</v>
      </c>
      <c r="M329" s="298" t="s">
        <v>2118</v>
      </c>
      <c r="N329" s="296" t="str">
        <f>"Guinee,Kindia,Dubreka,Khorira"</f>
        <v>Guinee,Kindia,Dubreka,Khorira</v>
      </c>
    </row>
    <row r="330" spans="2:14" ht="18.75" x14ac:dyDescent="0.15">
      <c r="B330" s="295" t="str">
        <f>"22877"</f>
        <v>22877</v>
      </c>
      <c r="C330" s="295" t="str">
        <f>"A2020/1530/MMG/SGG"</f>
        <v>A2020/1530/MMG/SGG</v>
      </c>
      <c r="D330" s="296" t="s">
        <v>2119</v>
      </c>
      <c r="E330" s="295" t="s">
        <v>154</v>
      </c>
      <c r="F330" s="295" t="s">
        <v>644</v>
      </c>
      <c r="G330" s="295" t="s">
        <v>1565</v>
      </c>
      <c r="H330" s="295" t="s">
        <v>1565</v>
      </c>
      <c r="I330" s="297">
        <v>43955.509502314817</v>
      </c>
      <c r="J330" s="297">
        <v>43966</v>
      </c>
      <c r="K330" s="297">
        <v>45060</v>
      </c>
      <c r="L330" s="297">
        <v>43836</v>
      </c>
      <c r="M330" s="298" t="s">
        <v>2120</v>
      </c>
      <c r="N330" s="296" t="str">
        <f>"Guinee,Kankan,Kankan,Baté-Nafadji; Mandiana,Sansando"</f>
        <v>Guinee,Kankan,Kankan,Baté-Nafadji; Mandiana,Sansando</v>
      </c>
    </row>
    <row r="331" spans="2:14" ht="27" x14ac:dyDescent="0.15">
      <c r="B331" s="295" t="str">
        <f>"22849"</f>
        <v>22849</v>
      </c>
      <c r="C331" s="295" t="str">
        <f>"A2020/1529/MMG/SGG"</f>
        <v>A2020/1529/MMG/SGG</v>
      </c>
      <c r="D331" s="296" t="s">
        <v>2121</v>
      </c>
      <c r="E331" s="295" t="s">
        <v>154</v>
      </c>
      <c r="F331" s="295" t="s">
        <v>644</v>
      </c>
      <c r="G331" s="295" t="s">
        <v>1565</v>
      </c>
      <c r="H331" s="295" t="s">
        <v>1565</v>
      </c>
      <c r="I331" s="297">
        <v>43915.439687500002</v>
      </c>
      <c r="J331" s="297">
        <v>43966</v>
      </c>
      <c r="K331" s="297">
        <v>45060</v>
      </c>
      <c r="L331" s="297">
        <v>43902</v>
      </c>
      <c r="M331" s="298" t="s">
        <v>2122</v>
      </c>
      <c r="N331" s="296" t="str">
        <f>"Guinee,Kankan,Siguiri,Franwalia, Maléa"</f>
        <v>Guinee,Kankan,Siguiri,Franwalia, Maléa</v>
      </c>
    </row>
    <row r="332" spans="2:14" ht="27" x14ac:dyDescent="0.15">
      <c r="B332" s="295" t="str">
        <f>"22857"</f>
        <v>22857</v>
      </c>
      <c r="C332" s="295" t="str">
        <f>"A2020/1528/MMG/SGG"</f>
        <v>A2020/1528/MMG/SGG</v>
      </c>
      <c r="D332" s="296" t="s">
        <v>2123</v>
      </c>
      <c r="E332" s="295" t="s">
        <v>154</v>
      </c>
      <c r="F332" s="295" t="s">
        <v>644</v>
      </c>
      <c r="G332" s="295" t="s">
        <v>1565</v>
      </c>
      <c r="H332" s="295" t="s">
        <v>1565</v>
      </c>
      <c r="I332" s="297">
        <v>43923.479398148149</v>
      </c>
      <c r="J332" s="297">
        <v>43966</v>
      </c>
      <c r="K332" s="297">
        <v>45060</v>
      </c>
      <c r="L332" s="297">
        <v>43848</v>
      </c>
      <c r="M332" s="298" t="s">
        <v>2124</v>
      </c>
      <c r="N332" s="296" t="str">
        <f>"Guinee,Kankan,Mandiana,Faralako, Kantoumanina"</f>
        <v>Guinee,Kankan,Mandiana,Faralako, Kantoumanina</v>
      </c>
    </row>
    <row r="333" spans="2:14" ht="18.75" x14ac:dyDescent="0.15">
      <c r="B333" s="295" t="str">
        <f>"22879"</f>
        <v>22879</v>
      </c>
      <c r="C333" s="295" t="str">
        <f>"A2020/1527/MMG/SGG"</f>
        <v>A2020/1527/MMG/SGG</v>
      </c>
      <c r="D333" s="296" t="s">
        <v>2125</v>
      </c>
      <c r="E333" s="295" t="s">
        <v>154</v>
      </c>
      <c r="F333" s="295" t="s">
        <v>644</v>
      </c>
      <c r="G333" s="295" t="s">
        <v>1565</v>
      </c>
      <c r="H333" s="295" t="s">
        <v>1565</v>
      </c>
      <c r="I333" s="297">
        <v>43957.523425925923</v>
      </c>
      <c r="J333" s="297">
        <v>43966</v>
      </c>
      <c r="K333" s="297">
        <v>45060</v>
      </c>
      <c r="L333" s="297">
        <v>43935</v>
      </c>
      <c r="M333" s="298" t="s">
        <v>2126</v>
      </c>
      <c r="N333" s="296" t="str">
        <f>"Guinee,Kankan,Siguiri,Franwalia, Kintinian, Niagassola"</f>
        <v>Guinee,Kankan,Siguiri,Franwalia, Kintinian, Niagassola</v>
      </c>
    </row>
    <row r="334" spans="2:14" ht="27" x14ac:dyDescent="0.15">
      <c r="B334" s="295" t="str">
        <f>"22862"</f>
        <v>22862</v>
      </c>
      <c r="C334" s="295" t="str">
        <f>"A2020/1226/MMG/SGG"</f>
        <v>A2020/1226/MMG/SGG</v>
      </c>
      <c r="D334" s="296" t="s">
        <v>2127</v>
      </c>
      <c r="E334" s="295" t="s">
        <v>78</v>
      </c>
      <c r="F334" s="295" t="s">
        <v>1781</v>
      </c>
      <c r="G334" s="295" t="s">
        <v>1565</v>
      </c>
      <c r="H334" s="295" t="s">
        <v>1565</v>
      </c>
      <c r="I334" s="297">
        <v>43935.49150462963</v>
      </c>
      <c r="J334" s="297">
        <v>43943</v>
      </c>
      <c r="K334" s="297">
        <v>44672</v>
      </c>
      <c r="L334" s="297">
        <v>43564</v>
      </c>
      <c r="M334" s="298" t="s">
        <v>2128</v>
      </c>
      <c r="N334" s="296" t="str">
        <f>"Guinee,Kindia,Telimele,Daramagnak"</f>
        <v>Guinee,Kindia,Telimele,Daramagnak</v>
      </c>
    </row>
    <row r="335" spans="2:14" ht="27" x14ac:dyDescent="0.15">
      <c r="B335" s="295" t="str">
        <f>"22861"</f>
        <v>22861</v>
      </c>
      <c r="C335" s="295" t="str">
        <f>"A2020/1223/MMG/SGG"</f>
        <v>A2020/1223/MMG/SGG</v>
      </c>
      <c r="D335" s="296" t="s">
        <v>434</v>
      </c>
      <c r="E335" s="295" t="s">
        <v>254</v>
      </c>
      <c r="F335" s="295" t="s">
        <v>1568</v>
      </c>
      <c r="G335" s="295" t="s">
        <v>1565</v>
      </c>
      <c r="H335" s="295" t="s">
        <v>1565</v>
      </c>
      <c r="I335" s="297">
        <v>43930.464062500003</v>
      </c>
      <c r="J335" s="297">
        <v>43943</v>
      </c>
      <c r="K335" s="297">
        <v>45037</v>
      </c>
      <c r="L335" s="297">
        <v>43850</v>
      </c>
      <c r="M335" s="298" t="s">
        <v>2129</v>
      </c>
      <c r="N335" s="296" t="str">
        <f>"Guinee,Labe,Labe,Dalein, Diari, Kouramangui, Popodara; Lelouma,Diontou, Lafou"</f>
        <v>Guinee,Labe,Labe,Dalein, Diari, Kouramangui, Popodara; Lelouma,Diontou, Lafou</v>
      </c>
    </row>
    <row r="336" spans="2:14" ht="27" x14ac:dyDescent="0.15">
      <c r="B336" s="295" t="str">
        <f>"22853"</f>
        <v>22853</v>
      </c>
      <c r="C336" s="295" t="str">
        <f>"A2020/1139/MMG/SGG"</f>
        <v>A2020/1139/MMG/SGG</v>
      </c>
      <c r="D336" s="296" t="s">
        <v>2130</v>
      </c>
      <c r="E336" s="295" t="s">
        <v>78</v>
      </c>
      <c r="F336" s="295" t="s">
        <v>1769</v>
      </c>
      <c r="G336" s="295" t="s">
        <v>1565</v>
      </c>
      <c r="H336" s="295" t="s">
        <v>1678</v>
      </c>
      <c r="I336" s="297">
        <v>43921.602766203701</v>
      </c>
      <c r="J336" s="297">
        <v>43931</v>
      </c>
      <c r="K336" s="297">
        <v>44660</v>
      </c>
      <c r="L336" s="297">
        <v>43864</v>
      </c>
      <c r="M336" s="298" t="s">
        <v>2131</v>
      </c>
      <c r="N336" s="296" t="str">
        <f>"Guinee,Kindia,Forecariah,Maférinya"</f>
        <v>Guinee,Kindia,Forecariah,Maférinya</v>
      </c>
    </row>
    <row r="337" spans="2:14" x14ac:dyDescent="0.15">
      <c r="B337" s="295" t="str">
        <f>"22819"</f>
        <v>22819</v>
      </c>
      <c r="C337" s="295" t="str">
        <f>"A2020/1138/MMG/SGG"</f>
        <v>A2020/1138/MMG/SGG</v>
      </c>
      <c r="D337" s="296" t="s">
        <v>2132</v>
      </c>
      <c r="E337" s="295" t="s">
        <v>78</v>
      </c>
      <c r="F337" s="295" t="s">
        <v>1769</v>
      </c>
      <c r="G337" s="295" t="s">
        <v>1565</v>
      </c>
      <c r="H337" s="295" t="s">
        <v>1565</v>
      </c>
      <c r="I337" s="297">
        <v>43850.541875000003</v>
      </c>
      <c r="J337" s="297">
        <v>43931</v>
      </c>
      <c r="K337" s="297">
        <v>44660</v>
      </c>
      <c r="L337" s="297">
        <v>43808</v>
      </c>
      <c r="M337" s="298" t="s">
        <v>2133</v>
      </c>
      <c r="N337" s="296" t="str">
        <f>"Guinee,Kindia,Dubreka,Dubréka, Khorira"</f>
        <v>Guinee,Kindia,Dubreka,Dubréka, Khorira</v>
      </c>
    </row>
    <row r="338" spans="2:14" ht="18.75" x14ac:dyDescent="0.15">
      <c r="B338" s="295" t="str">
        <f>"22090"</f>
        <v>22090</v>
      </c>
      <c r="C338" s="295" t="str">
        <f>"A2020/1137/MMG/SGG"</f>
        <v>A2020/1137/MMG/SGG</v>
      </c>
      <c r="D338" s="296" t="s">
        <v>2134</v>
      </c>
      <c r="E338" s="295" t="s">
        <v>154</v>
      </c>
      <c r="F338" s="295" t="s">
        <v>644</v>
      </c>
      <c r="G338" s="295" t="s">
        <v>1565</v>
      </c>
      <c r="H338" s="295" t="s">
        <v>1873</v>
      </c>
      <c r="I338" s="297">
        <v>42793.519629629627</v>
      </c>
      <c r="J338" s="297">
        <v>42829</v>
      </c>
      <c r="K338" s="297">
        <v>44661</v>
      </c>
      <c r="L338" s="297">
        <v>42711</v>
      </c>
      <c r="M338" s="298" t="s">
        <v>2135</v>
      </c>
      <c r="N338" s="296" t="str">
        <f>"Guinee,Kankan,Siguiri,Niagassola"</f>
        <v>Guinee,Kankan,Siguiri,Niagassola</v>
      </c>
    </row>
    <row r="339" spans="2:14" ht="27" x14ac:dyDescent="0.15">
      <c r="B339" s="295" t="str">
        <f>"22123"</f>
        <v>22123</v>
      </c>
      <c r="C339" s="295" t="str">
        <f>"A2020/1136/MMG/SGG"</f>
        <v>A2020/1136/MMG/SGG</v>
      </c>
      <c r="D339" s="296" t="s">
        <v>2136</v>
      </c>
      <c r="E339" s="295" t="s">
        <v>154</v>
      </c>
      <c r="F339" s="295" t="s">
        <v>644</v>
      </c>
      <c r="G339" s="295" t="s">
        <v>1565</v>
      </c>
      <c r="H339" s="295" t="s">
        <v>1678</v>
      </c>
      <c r="I339" s="297">
        <v>42832.546481481484</v>
      </c>
      <c r="J339" s="297">
        <v>42874</v>
      </c>
      <c r="K339" s="297">
        <v>44661</v>
      </c>
      <c r="L339" s="297">
        <v>42828</v>
      </c>
      <c r="M339" s="298" t="s">
        <v>2137</v>
      </c>
      <c r="N339" s="296" t="str">
        <f>"Guinee,Kankan,Siguiri,Doko"</f>
        <v>Guinee,Kankan,Siguiri,Doko</v>
      </c>
    </row>
    <row r="340" spans="2:14" ht="27" x14ac:dyDescent="0.15">
      <c r="B340" s="295" t="str">
        <f>"22089"</f>
        <v>22089</v>
      </c>
      <c r="C340" s="295" t="str">
        <f>"A2020/1131/MMG/SGG"</f>
        <v>A2020/1131/MMG/SGG</v>
      </c>
      <c r="D340" s="296" t="s">
        <v>1829</v>
      </c>
      <c r="E340" s="295" t="s">
        <v>154</v>
      </c>
      <c r="F340" s="295" t="s">
        <v>644</v>
      </c>
      <c r="G340" s="295" t="s">
        <v>1565</v>
      </c>
      <c r="H340" s="295" t="s">
        <v>1678</v>
      </c>
      <c r="I340" s="297">
        <v>42788.548460648148</v>
      </c>
      <c r="J340" s="297">
        <v>42825</v>
      </c>
      <c r="K340" s="297">
        <v>44661</v>
      </c>
      <c r="L340" s="297">
        <v>42769</v>
      </c>
      <c r="M340" s="298" t="s">
        <v>2138</v>
      </c>
      <c r="N340" s="296" t="str">
        <f>"Guinee,Kankan,Kankan,Missamana; Mandiana,Kantoumanina"</f>
        <v>Guinee,Kankan,Kankan,Missamana; Mandiana,Kantoumanina</v>
      </c>
    </row>
    <row r="341" spans="2:14" ht="27" x14ac:dyDescent="0.15">
      <c r="B341" s="295" t="str">
        <f>"22059"</f>
        <v>22059</v>
      </c>
      <c r="C341" s="295" t="str">
        <f>"A2020/1130/MMG/SGG"</f>
        <v>A2020/1130/MMG/SGG</v>
      </c>
      <c r="D341" s="296" t="s">
        <v>2139</v>
      </c>
      <c r="E341" s="295" t="s">
        <v>1820</v>
      </c>
      <c r="F341" s="295" t="s">
        <v>640</v>
      </c>
      <c r="G341" s="295" t="s">
        <v>1565</v>
      </c>
      <c r="H341" s="295" t="s">
        <v>1565</v>
      </c>
      <c r="I341" s="297">
        <v>42731.657256944447</v>
      </c>
      <c r="J341" s="297">
        <v>42748</v>
      </c>
      <c r="K341" s="297">
        <v>44691</v>
      </c>
      <c r="L341" s="297">
        <v>42725</v>
      </c>
      <c r="M341" s="298" t="s">
        <v>2140</v>
      </c>
      <c r="N341" s="296" t="str">
        <f>"Guinee,N'Zerekore,Macenta,Kouankan"</f>
        <v>Guinee,N'Zerekore,Macenta,Kouankan</v>
      </c>
    </row>
    <row r="342" spans="2:14" ht="27" x14ac:dyDescent="0.15">
      <c r="B342" s="295" t="str">
        <f>"22077"</f>
        <v>22077</v>
      </c>
      <c r="C342" s="295" t="str">
        <f>"A2020/1128/MMG/SGG"</f>
        <v>A2020/1128/MMG/SGG</v>
      </c>
      <c r="D342" s="296" t="s">
        <v>2139</v>
      </c>
      <c r="E342" s="295" t="s">
        <v>154</v>
      </c>
      <c r="F342" s="295" t="s">
        <v>644</v>
      </c>
      <c r="G342" s="295" t="s">
        <v>1565</v>
      </c>
      <c r="H342" s="295" t="s">
        <v>1565</v>
      </c>
      <c r="I342" s="297">
        <v>42745.610277777778</v>
      </c>
      <c r="J342" s="297">
        <v>42748</v>
      </c>
      <c r="K342" s="297">
        <v>44661</v>
      </c>
      <c r="L342" s="297">
        <v>42745</v>
      </c>
      <c r="M342" s="298" t="s">
        <v>2141</v>
      </c>
      <c r="N342" s="296" t="str">
        <f>"Guinee,Kankan,Mandiana,Faralako, Kantoumanina"</f>
        <v>Guinee,Kankan,Mandiana,Faralako, Kantoumanina</v>
      </c>
    </row>
    <row r="343" spans="2:14" ht="27" x14ac:dyDescent="0.15">
      <c r="B343" s="295" t="str">
        <f>"22856"</f>
        <v>22856</v>
      </c>
      <c r="C343" s="295" t="str">
        <f>"A2020/1126/MMG/SGG"</f>
        <v>A2020/1126/MMG/SGG</v>
      </c>
      <c r="D343" s="296" t="s">
        <v>598</v>
      </c>
      <c r="E343" s="295" t="s">
        <v>254</v>
      </c>
      <c r="F343" s="295" t="s">
        <v>1568</v>
      </c>
      <c r="G343" s="295" t="s">
        <v>1565</v>
      </c>
      <c r="H343" s="295" t="s">
        <v>1565</v>
      </c>
      <c r="I343" s="297">
        <v>43923.409849537034</v>
      </c>
      <c r="J343" s="297">
        <v>43931</v>
      </c>
      <c r="K343" s="297">
        <v>45025</v>
      </c>
      <c r="L343" s="297">
        <v>43878</v>
      </c>
      <c r="M343" s="298" t="s">
        <v>2142</v>
      </c>
      <c r="N343" s="296" t="str">
        <f>"Guinee,Kindia,Kindia,Souguéta; Mamou,Dalaba,Koba; Pita,Gongoret (P), Sangaréah"</f>
        <v>Guinee,Kindia,Kindia,Souguéta; Mamou,Dalaba,Koba; Pita,Gongoret (P), Sangaréah</v>
      </c>
    </row>
    <row r="344" spans="2:14" ht="27" x14ac:dyDescent="0.15">
      <c r="B344" s="295" t="str">
        <f>"22786"</f>
        <v>22786</v>
      </c>
      <c r="C344" s="295" t="str">
        <f>"A2020/1053/MMG/SGG"</f>
        <v>A2020/1053/MMG/SGG</v>
      </c>
      <c r="D344" s="296" t="s">
        <v>2143</v>
      </c>
      <c r="E344" s="295" t="s">
        <v>1820</v>
      </c>
      <c r="F344" s="295" t="s">
        <v>640</v>
      </c>
      <c r="G344" s="295" t="s">
        <v>1565</v>
      </c>
      <c r="H344" s="295" t="s">
        <v>1565</v>
      </c>
      <c r="I344" s="297">
        <v>43808.618159722224</v>
      </c>
      <c r="J344" s="297">
        <v>43927</v>
      </c>
      <c r="K344" s="297">
        <v>45021</v>
      </c>
      <c r="L344" s="297">
        <v>43802</v>
      </c>
      <c r="M344" s="298" t="s">
        <v>2144</v>
      </c>
      <c r="N344" s="296" t="str">
        <f>"Guinee,Boke,Boffa,Boffa, Kolia, Lisso"</f>
        <v>Guinee,Boke,Boffa,Boffa, Kolia, Lisso</v>
      </c>
    </row>
    <row r="345" spans="2:14" ht="18.75" x14ac:dyDescent="0.15">
      <c r="B345" s="295" t="str">
        <f>"22826"</f>
        <v>22826</v>
      </c>
      <c r="C345" s="295" t="str">
        <f>"A2020/1052/MMG/SGG"</f>
        <v>A2020/1052/MMG/SGG</v>
      </c>
      <c r="D345" s="296" t="s">
        <v>2145</v>
      </c>
      <c r="E345" s="295" t="s">
        <v>154</v>
      </c>
      <c r="F345" s="295" t="s">
        <v>644</v>
      </c>
      <c r="G345" s="295" t="s">
        <v>1565</v>
      </c>
      <c r="H345" s="295" t="s">
        <v>1565</v>
      </c>
      <c r="I345" s="297">
        <v>43854.489537037036</v>
      </c>
      <c r="J345" s="297">
        <v>43927</v>
      </c>
      <c r="K345" s="297">
        <v>45021</v>
      </c>
      <c r="L345" s="297">
        <v>43845</v>
      </c>
      <c r="M345" s="298" t="s">
        <v>2146</v>
      </c>
      <c r="N345" s="296" t="str">
        <f>"Guinee,Kankan,Mandiana,Koundian, Morodou"</f>
        <v>Guinee,Kankan,Mandiana,Koundian, Morodou</v>
      </c>
    </row>
    <row r="346" spans="2:14" ht="18.75" x14ac:dyDescent="0.15">
      <c r="B346" s="295" t="str">
        <f>"22827"</f>
        <v>22827</v>
      </c>
      <c r="C346" s="295" t="str">
        <f>"A2020/1051/MMG/SGG"</f>
        <v>A2020/1051/MMG/SGG</v>
      </c>
      <c r="D346" s="296" t="s">
        <v>2145</v>
      </c>
      <c r="E346" s="295" t="s">
        <v>154</v>
      </c>
      <c r="F346" s="295" t="s">
        <v>644</v>
      </c>
      <c r="G346" s="295" t="s">
        <v>1565</v>
      </c>
      <c r="H346" s="295" t="s">
        <v>1565</v>
      </c>
      <c r="I346" s="297">
        <v>43854.521840277775</v>
      </c>
      <c r="J346" s="297">
        <v>43927</v>
      </c>
      <c r="K346" s="297">
        <v>45021</v>
      </c>
      <c r="L346" s="297">
        <v>43845</v>
      </c>
      <c r="M346" s="298" t="s">
        <v>2147</v>
      </c>
      <c r="N346" s="296" t="str">
        <f>"Guinee,Kankan,Mandiana,Koundian"</f>
        <v>Guinee,Kankan,Mandiana,Koundian</v>
      </c>
    </row>
    <row r="347" spans="2:14" ht="27" x14ac:dyDescent="0.15">
      <c r="B347" s="295" t="str">
        <f>"22832"</f>
        <v>22832</v>
      </c>
      <c r="C347" s="295" t="str">
        <f>"A2020/1050/MMG/SGG"</f>
        <v>A2020/1050/MMG/SGG</v>
      </c>
      <c r="D347" s="296" t="s">
        <v>2148</v>
      </c>
      <c r="E347" s="295" t="s">
        <v>1820</v>
      </c>
      <c r="F347" s="295" t="s">
        <v>640</v>
      </c>
      <c r="G347" s="295" t="s">
        <v>1565</v>
      </c>
      <c r="H347" s="295" t="s">
        <v>1565</v>
      </c>
      <c r="I347" s="297">
        <v>43864.736608796295</v>
      </c>
      <c r="J347" s="297">
        <v>43927</v>
      </c>
      <c r="K347" s="297">
        <v>45021</v>
      </c>
      <c r="L347" s="297">
        <v>43854</v>
      </c>
      <c r="M347" s="298" t="s">
        <v>2149</v>
      </c>
      <c r="N347" s="296" t="str">
        <f>"Guinee,Faranah,Kissidougo,Banama, Bardou, Kondiadou; N'Zerekore,Macenta,Binikala, Watanka"</f>
        <v>Guinee,Faranah,Kissidougo,Banama, Bardou, Kondiadou; N'Zerekore,Macenta,Binikala, Watanka</v>
      </c>
    </row>
    <row r="348" spans="2:14" ht="18.75" x14ac:dyDescent="0.15">
      <c r="B348" s="295" t="str">
        <f>"22012"</f>
        <v>22012</v>
      </c>
      <c r="C348" s="295" t="str">
        <f>"A2020/1046/MMG/SGG"</f>
        <v>A2020/1046/MMG/SGG</v>
      </c>
      <c r="D348" s="296" t="s">
        <v>2150</v>
      </c>
      <c r="E348" s="295" t="s">
        <v>154</v>
      </c>
      <c r="F348" s="295" t="s">
        <v>644</v>
      </c>
      <c r="G348" s="295" t="s">
        <v>1565</v>
      </c>
      <c r="H348" s="295" t="s">
        <v>1565</v>
      </c>
      <c r="I348" s="297">
        <v>42653.607592592591</v>
      </c>
      <c r="J348" s="297">
        <v>42668</v>
      </c>
      <c r="K348" s="297">
        <v>44292</v>
      </c>
      <c r="L348" s="297">
        <v>42647</v>
      </c>
      <c r="M348" s="298" t="s">
        <v>2151</v>
      </c>
      <c r="N348" s="296" t="str">
        <f>"Guinee,Kankan,Siguiri,Maléa, Naboun"</f>
        <v>Guinee,Kankan,Siguiri,Maléa, Naboun</v>
      </c>
    </row>
    <row r="349" spans="2:14" x14ac:dyDescent="0.15">
      <c r="B349" s="295" t="str">
        <f>"22845"</f>
        <v>22845</v>
      </c>
      <c r="C349" s="295" t="str">
        <f>"A2020/1044/MMGSGG"</f>
        <v>A2020/1044/MMGSGG</v>
      </c>
      <c r="D349" s="296" t="s">
        <v>2152</v>
      </c>
      <c r="E349" s="295" t="s">
        <v>78</v>
      </c>
      <c r="F349" s="295" t="s">
        <v>1890</v>
      </c>
      <c r="G349" s="295" t="s">
        <v>1565</v>
      </c>
      <c r="H349" s="295" t="s">
        <v>1565</v>
      </c>
      <c r="I349" s="297">
        <v>43901.483402777776</v>
      </c>
      <c r="J349" s="297">
        <v>43927</v>
      </c>
      <c r="K349" s="297">
        <v>44656</v>
      </c>
      <c r="L349" s="297">
        <v>43655</v>
      </c>
      <c r="M349" s="298" t="s">
        <v>2153</v>
      </c>
      <c r="N349" s="296" t="str">
        <f>"Guinee,Boke,Boffa,Mankountan"</f>
        <v>Guinee,Boke,Boffa,Mankountan</v>
      </c>
    </row>
    <row r="350" spans="2:14" ht="18.75" x14ac:dyDescent="0.15">
      <c r="B350" s="295" t="str">
        <f>"22800"</f>
        <v>22800</v>
      </c>
      <c r="C350" s="295" t="str">
        <f>"A2020/077/MMG"</f>
        <v>A2020/077/MMG</v>
      </c>
      <c r="D350" s="296" t="s">
        <v>2154</v>
      </c>
      <c r="E350" s="295" t="s">
        <v>154</v>
      </c>
      <c r="F350" s="295" t="s">
        <v>644</v>
      </c>
      <c r="G350" s="295" t="s">
        <v>1565</v>
      </c>
      <c r="H350" s="295" t="s">
        <v>1565</v>
      </c>
      <c r="I350" s="297">
        <v>43819.604421296295</v>
      </c>
      <c r="J350" s="297">
        <v>43847</v>
      </c>
      <c r="K350" s="297">
        <v>44942</v>
      </c>
      <c r="L350" s="297">
        <v>43802</v>
      </c>
      <c r="M350" s="298" t="s">
        <v>2155</v>
      </c>
      <c r="N350" s="296" t="str">
        <f>"Guinee,Faranah,Dinguiraye,Banora"</f>
        <v>Guinee,Faranah,Dinguiraye,Banora</v>
      </c>
    </row>
    <row r="351" spans="2:14" x14ac:dyDescent="0.15">
      <c r="B351" s="295" t="str">
        <f>"22809"</f>
        <v>22809</v>
      </c>
      <c r="C351" s="295" t="str">
        <f>"A2020/031/MMG/SGG"</f>
        <v>A2020/031/MMG/SGG</v>
      </c>
      <c r="D351" s="296" t="s">
        <v>2156</v>
      </c>
      <c r="E351" s="295" t="s">
        <v>78</v>
      </c>
      <c r="F351" s="295" t="s">
        <v>1769</v>
      </c>
      <c r="G351" s="295" t="s">
        <v>1565</v>
      </c>
      <c r="H351" s="295" t="s">
        <v>1565</v>
      </c>
      <c r="I351" s="297">
        <v>43830.520891203705</v>
      </c>
      <c r="J351" s="297">
        <v>43844</v>
      </c>
      <c r="K351" s="297">
        <v>44574</v>
      </c>
      <c r="L351" s="297">
        <v>43818</v>
      </c>
      <c r="M351" s="298" t="s">
        <v>2157</v>
      </c>
      <c r="N351" s="296" t="str">
        <f>"Guinee,Kindia,Dubreka,Khorira"</f>
        <v>Guinee,Kindia,Dubreka,Khorira</v>
      </c>
    </row>
    <row r="352" spans="2:14" ht="27" x14ac:dyDescent="0.15">
      <c r="B352" s="295" t="str">
        <f>"22111"</f>
        <v>22111</v>
      </c>
      <c r="C352" s="295" t="str">
        <f>"A2020/030/MMG/SGG"</f>
        <v>A2020/030/MMG/SGG</v>
      </c>
      <c r="D352" s="296" t="s">
        <v>2158</v>
      </c>
      <c r="E352" s="295" t="s">
        <v>154</v>
      </c>
      <c r="F352" s="295" t="s">
        <v>644</v>
      </c>
      <c r="G352" s="295" t="s">
        <v>1565</v>
      </c>
      <c r="H352" s="295" t="s">
        <v>1678</v>
      </c>
      <c r="I352" s="297">
        <v>42822.402118055557</v>
      </c>
      <c r="J352" s="297">
        <v>42824</v>
      </c>
      <c r="K352" s="297">
        <v>44575</v>
      </c>
      <c r="L352" s="297">
        <v>42816</v>
      </c>
      <c r="M352" s="298" t="s">
        <v>2159</v>
      </c>
      <c r="N352" s="296" t="str">
        <f>"Guinee,Labe,Mali,Balaki"</f>
        <v>Guinee,Labe,Mali,Balaki</v>
      </c>
    </row>
    <row r="353" spans="2:14" ht="18.75" x14ac:dyDescent="0.15">
      <c r="B353" s="295" t="str">
        <f>"22016"</f>
        <v>22016</v>
      </c>
      <c r="C353" s="295" t="str">
        <f>"A2020/029/MMG/SGG"</f>
        <v>A2020/029/MMG/SGG</v>
      </c>
      <c r="D353" s="296" t="s">
        <v>2160</v>
      </c>
      <c r="E353" s="295" t="s">
        <v>154</v>
      </c>
      <c r="F353" s="295" t="s">
        <v>644</v>
      </c>
      <c r="G353" s="295" t="s">
        <v>1565</v>
      </c>
      <c r="H353" s="295" t="s">
        <v>1873</v>
      </c>
      <c r="I353" s="297">
        <v>42654.532557870371</v>
      </c>
      <c r="J353" s="297">
        <v>42668</v>
      </c>
      <c r="K353" s="297">
        <v>44575</v>
      </c>
      <c r="L353" s="297">
        <v>42621</v>
      </c>
      <c r="M353" s="298" t="s">
        <v>2161</v>
      </c>
      <c r="N353" s="296" t="str">
        <f>"Guinee,Kankan,Siguiri,Kiniebakoura, Niandankoro"</f>
        <v>Guinee,Kankan,Siguiri,Kiniebakoura, Niandankoro</v>
      </c>
    </row>
    <row r="354" spans="2:14" ht="27" x14ac:dyDescent="0.15">
      <c r="B354" s="295" t="str">
        <f>"22798"</f>
        <v>22798</v>
      </c>
      <c r="C354" s="295" t="str">
        <f>"A2020/028/MMG/SGG"</f>
        <v>A2020/028/MMG/SGG</v>
      </c>
      <c r="D354" s="296" t="s">
        <v>2162</v>
      </c>
      <c r="E354" s="295" t="s">
        <v>1820</v>
      </c>
      <c r="F354" s="295" t="s">
        <v>640</v>
      </c>
      <c r="G354" s="295" t="s">
        <v>1565</v>
      </c>
      <c r="H354" s="295" t="s">
        <v>1565</v>
      </c>
      <c r="I354" s="297">
        <v>43818.408182870371</v>
      </c>
      <c r="J354" s="297">
        <v>43844</v>
      </c>
      <c r="K354" s="297">
        <v>44939</v>
      </c>
      <c r="L354" s="297">
        <v>43808</v>
      </c>
      <c r="M354" s="298" t="s">
        <v>2163</v>
      </c>
      <c r="N354" s="296" t="str">
        <f>"Guinee,N'Zerekore,Macenta,Binikala"</f>
        <v>Guinee,N'Zerekore,Macenta,Binikala</v>
      </c>
    </row>
    <row r="355" spans="2:14" ht="18.75" x14ac:dyDescent="0.15">
      <c r="B355" s="295" t="str">
        <f>"22806"</f>
        <v>22806</v>
      </c>
      <c r="C355" s="295" t="str">
        <f>"A2020/027/MMG/SGG"</f>
        <v>A2020/027/MMG/SGG</v>
      </c>
      <c r="D355" s="296" t="s">
        <v>2164</v>
      </c>
      <c r="E355" s="295" t="s">
        <v>154</v>
      </c>
      <c r="F355" s="295" t="s">
        <v>644</v>
      </c>
      <c r="G355" s="295" t="s">
        <v>1565</v>
      </c>
      <c r="H355" s="295" t="s">
        <v>1565</v>
      </c>
      <c r="I355" s="297">
        <v>43826.651377314818</v>
      </c>
      <c r="J355" s="297">
        <v>43844</v>
      </c>
      <c r="K355" s="297">
        <v>44939</v>
      </c>
      <c r="L355" s="297">
        <v>43816</v>
      </c>
      <c r="M355" s="298" t="s">
        <v>2165</v>
      </c>
      <c r="N355" s="296" t="str">
        <f>"Guinee,Faranah,Dinguiraye,Banora"</f>
        <v>Guinee,Faranah,Dinguiraye,Banora</v>
      </c>
    </row>
    <row r="356" spans="2:14" ht="18.75" x14ac:dyDescent="0.15">
      <c r="B356" s="295" t="str">
        <f>"22795"</f>
        <v>22795</v>
      </c>
      <c r="C356" s="295" t="str">
        <f>"A2020/026/MMG/SGG"</f>
        <v>A2020/026/MMG/SGG</v>
      </c>
      <c r="D356" s="296" t="s">
        <v>2166</v>
      </c>
      <c r="E356" s="295" t="s">
        <v>154</v>
      </c>
      <c r="F356" s="295" t="s">
        <v>644</v>
      </c>
      <c r="G356" s="295" t="s">
        <v>1565</v>
      </c>
      <c r="H356" s="295" t="s">
        <v>1565</v>
      </c>
      <c r="I356" s="297">
        <v>43811.683854166666</v>
      </c>
      <c r="J356" s="297">
        <v>43844</v>
      </c>
      <c r="K356" s="297">
        <v>44939</v>
      </c>
      <c r="L356" s="297">
        <v>43808</v>
      </c>
      <c r="M356" s="298" t="s">
        <v>2167</v>
      </c>
      <c r="N356" s="296" t="str">
        <f>"Guinee,Kankan,Kankan,Mamouroudou, Moribayah"</f>
        <v>Guinee,Kankan,Kankan,Mamouroudou, Moribayah</v>
      </c>
    </row>
    <row r="357" spans="2:14" ht="18.75" x14ac:dyDescent="0.15">
      <c r="B357" s="295" t="str">
        <f>"22796"</f>
        <v>22796</v>
      </c>
      <c r="C357" s="295" t="str">
        <f>"A2020/025/MMG/SGG"</f>
        <v>A2020/025/MMG/SGG</v>
      </c>
      <c r="D357" s="296" t="s">
        <v>2166</v>
      </c>
      <c r="E357" s="295" t="s">
        <v>154</v>
      </c>
      <c r="F357" s="295" t="s">
        <v>644</v>
      </c>
      <c r="G357" s="295" t="s">
        <v>1565</v>
      </c>
      <c r="H357" s="295" t="s">
        <v>1565</v>
      </c>
      <c r="I357" s="297">
        <v>43811.704074074078</v>
      </c>
      <c r="J357" s="297">
        <v>43844</v>
      </c>
      <c r="K357" s="297">
        <v>44939</v>
      </c>
      <c r="L357" s="297">
        <v>43808</v>
      </c>
      <c r="M357" s="298" t="s">
        <v>2168</v>
      </c>
      <c r="N357" s="296" t="str">
        <f>"Guinee,Kankan,Kankan,Mamouroudou; Kerouane,Komodou"</f>
        <v>Guinee,Kankan,Kankan,Mamouroudou; Kerouane,Komodou</v>
      </c>
    </row>
    <row r="358" spans="2:14" ht="18.75" x14ac:dyDescent="0.15">
      <c r="B358" s="295" t="str">
        <f>"22574"</f>
        <v>22574</v>
      </c>
      <c r="C358" s="295" t="str">
        <f>"A2019/939/MMG"</f>
        <v>A2019/939/MMG</v>
      </c>
      <c r="D358" s="296" t="s">
        <v>2169</v>
      </c>
      <c r="E358" s="295" t="s">
        <v>254</v>
      </c>
      <c r="F358" s="295" t="s">
        <v>1568</v>
      </c>
      <c r="G358" s="295" t="s">
        <v>1565</v>
      </c>
      <c r="H358" s="295" t="s">
        <v>1873</v>
      </c>
      <c r="I358" s="297">
        <v>43530.485960648148</v>
      </c>
      <c r="J358" s="297">
        <v>43518</v>
      </c>
      <c r="K358" s="297">
        <v>44641</v>
      </c>
      <c r="L358" s="297">
        <v>43486</v>
      </c>
      <c r="M358" s="298" t="s">
        <v>2170</v>
      </c>
      <c r="N358" s="296" t="str">
        <f>"Guinee,Boke,Gaoual,Kakony, Touba (5)"</f>
        <v>Guinee,Boke,Gaoual,Kakony, Touba (5)</v>
      </c>
    </row>
    <row r="359" spans="2:14" ht="27" x14ac:dyDescent="0.15">
      <c r="B359" s="295" t="str">
        <f>"22577"</f>
        <v>22577</v>
      </c>
      <c r="C359" s="295" t="str">
        <f>"A2019/938/MMG"</f>
        <v>A2019/938/MMG</v>
      </c>
      <c r="D359" s="296" t="s">
        <v>2171</v>
      </c>
      <c r="E359" s="295" t="s">
        <v>154</v>
      </c>
      <c r="F359" s="295" t="s">
        <v>644</v>
      </c>
      <c r="G359" s="295" t="s">
        <v>1565</v>
      </c>
      <c r="H359" s="295" t="s">
        <v>1873</v>
      </c>
      <c r="I359" s="297">
        <v>43531.697800925926</v>
      </c>
      <c r="J359" s="297">
        <v>43546</v>
      </c>
      <c r="K359" s="297">
        <v>44641</v>
      </c>
      <c r="L359" s="297">
        <v>43516</v>
      </c>
      <c r="M359" s="298" t="s">
        <v>2172</v>
      </c>
      <c r="N359" s="296" t="str">
        <f>"Guinee,Kankan,Mandiana,Balandougouba"</f>
        <v>Guinee,Kankan,Mandiana,Balandougouba</v>
      </c>
    </row>
    <row r="360" spans="2:14" ht="27" x14ac:dyDescent="0.15">
      <c r="B360" s="295" t="str">
        <f>"22579"</f>
        <v>22579</v>
      </c>
      <c r="C360" s="295" t="str">
        <f>"A2019/937/MMG"</f>
        <v>A2019/937/MMG</v>
      </c>
      <c r="D360" s="296" t="s">
        <v>2171</v>
      </c>
      <c r="E360" s="295" t="s">
        <v>154</v>
      </c>
      <c r="F360" s="295" t="s">
        <v>644</v>
      </c>
      <c r="G360" s="295" t="s">
        <v>1565</v>
      </c>
      <c r="H360" s="295" t="s">
        <v>1565</v>
      </c>
      <c r="I360" s="297">
        <v>43535.474618055552</v>
      </c>
      <c r="J360" s="297">
        <v>43546</v>
      </c>
      <c r="K360" s="297">
        <v>44641</v>
      </c>
      <c r="L360" s="297">
        <v>43516</v>
      </c>
      <c r="M360" s="298" t="s">
        <v>2173</v>
      </c>
      <c r="N360" s="296" t="str">
        <f>"Guinee,Kankan,Mandiana,Balandougouba"</f>
        <v>Guinee,Kankan,Mandiana,Balandougouba</v>
      </c>
    </row>
    <row r="361" spans="2:14" ht="18.75" x14ac:dyDescent="0.15">
      <c r="B361" s="295" t="str">
        <f>"22576"</f>
        <v>22576</v>
      </c>
      <c r="C361" s="295" t="str">
        <f>"A2019/936/MMG/SGG"</f>
        <v>A2019/936/MMG/SGG</v>
      </c>
      <c r="D361" s="296" t="s">
        <v>2174</v>
      </c>
      <c r="E361" s="295" t="s">
        <v>154</v>
      </c>
      <c r="F361" s="295" t="s">
        <v>644</v>
      </c>
      <c r="G361" s="295" t="s">
        <v>1565</v>
      </c>
      <c r="H361" s="295" t="s">
        <v>1565</v>
      </c>
      <c r="I361" s="297">
        <v>43530.534722222219</v>
      </c>
      <c r="J361" s="297">
        <v>43546</v>
      </c>
      <c r="K361" s="297">
        <v>44641</v>
      </c>
      <c r="L361" s="297">
        <v>43515</v>
      </c>
      <c r="M361" s="298" t="s">
        <v>2175</v>
      </c>
      <c r="N361" s="296" t="str">
        <f>"Guinee,Kankan,Mandiana,Koundianakoro, Morodou"</f>
        <v>Guinee,Kankan,Mandiana,Koundianakoro, Morodou</v>
      </c>
    </row>
    <row r="362" spans="2:14" ht="18.75" x14ac:dyDescent="0.15">
      <c r="B362" s="295" t="str">
        <f>"22575"</f>
        <v>22575</v>
      </c>
      <c r="C362" s="295" t="str">
        <f>"A2019/860/MMG/SGG"</f>
        <v>A2019/860/MMG/SGG</v>
      </c>
      <c r="D362" s="296" t="s">
        <v>2176</v>
      </c>
      <c r="E362" s="295" t="s">
        <v>154</v>
      </c>
      <c r="F362" s="295" t="s">
        <v>644</v>
      </c>
      <c r="G362" s="295" t="s">
        <v>1565</v>
      </c>
      <c r="H362" s="295" t="s">
        <v>1565</v>
      </c>
      <c r="I362" s="297">
        <v>43530.501481481479</v>
      </c>
      <c r="J362" s="297">
        <v>43544</v>
      </c>
      <c r="K362" s="297">
        <v>44639</v>
      </c>
      <c r="L362" s="297">
        <v>43509</v>
      </c>
      <c r="M362" s="298" t="s">
        <v>2177</v>
      </c>
      <c r="N362" s="296" t="str">
        <f>"Guinee,Kankan,Kankan,Tinti-Oulen; Kerouane,Komodou"</f>
        <v>Guinee,Kankan,Kankan,Tinti-Oulen; Kerouane,Komodou</v>
      </c>
    </row>
    <row r="363" spans="2:14" ht="18.75" x14ac:dyDescent="0.15">
      <c r="B363" s="295" t="str">
        <f>"22572"</f>
        <v>22572</v>
      </c>
      <c r="C363" s="295" t="str">
        <f>"A2019/850/MMG/SGG"</f>
        <v>A2019/850/MMG/SGG</v>
      </c>
      <c r="D363" s="296" t="s">
        <v>2178</v>
      </c>
      <c r="E363" s="295" t="s">
        <v>154</v>
      </c>
      <c r="F363" s="295" t="s">
        <v>644</v>
      </c>
      <c r="G363" s="295" t="s">
        <v>1565</v>
      </c>
      <c r="H363" s="295" t="s">
        <v>1565</v>
      </c>
      <c r="I363" s="297">
        <v>43530.417210648149</v>
      </c>
      <c r="J363" s="297">
        <v>43544</v>
      </c>
      <c r="K363" s="297">
        <v>44639</v>
      </c>
      <c r="L363" s="297">
        <v>43516</v>
      </c>
      <c r="M363" s="298" t="s">
        <v>2179</v>
      </c>
      <c r="N363" s="296" t="str">
        <f>"Guinee,Kankan,Siguiri,Maléa, Siguirini"</f>
        <v>Guinee,Kankan,Siguiri,Maléa, Siguirini</v>
      </c>
    </row>
    <row r="364" spans="2:14" x14ac:dyDescent="0.15">
      <c r="B364" s="295" t="str">
        <f>"22564"</f>
        <v>22564</v>
      </c>
      <c r="C364" s="295" t="str">
        <f>"A2019/820/MMG/SGG"</f>
        <v>A2019/820/MMG/SGG</v>
      </c>
      <c r="D364" s="296" t="s">
        <v>2180</v>
      </c>
      <c r="E364" s="295" t="s">
        <v>78</v>
      </c>
      <c r="F364" s="295" t="s">
        <v>1769</v>
      </c>
      <c r="G364" s="295" t="s">
        <v>1565</v>
      </c>
      <c r="H364" s="295" t="s">
        <v>1565</v>
      </c>
      <c r="I364" s="297">
        <v>43510.485127314816</v>
      </c>
      <c r="J364" s="297">
        <v>43543</v>
      </c>
      <c r="K364" s="297">
        <v>44273</v>
      </c>
      <c r="L364" s="297">
        <v>43461</v>
      </c>
      <c r="M364" s="298" t="s">
        <v>2181</v>
      </c>
      <c r="N364" s="296" t="str">
        <f>"Guinee,Kindia,Dubreka,Khorira"</f>
        <v>Guinee,Kindia,Dubreka,Khorira</v>
      </c>
    </row>
    <row r="365" spans="2:14" x14ac:dyDescent="0.15">
      <c r="B365" s="295" t="str">
        <f>"22565"</f>
        <v>22565</v>
      </c>
      <c r="C365" s="295" t="str">
        <f>"A2019/819/MMG"</f>
        <v>A2019/819/MMG</v>
      </c>
      <c r="D365" s="296" t="s">
        <v>2180</v>
      </c>
      <c r="E365" s="295" t="s">
        <v>78</v>
      </c>
      <c r="F365" s="295" t="s">
        <v>1769</v>
      </c>
      <c r="G365" s="295" t="s">
        <v>1565</v>
      </c>
      <c r="H365" s="295" t="s">
        <v>1565</v>
      </c>
      <c r="I365" s="297">
        <v>43510.515694444446</v>
      </c>
      <c r="J365" s="297">
        <v>43543</v>
      </c>
      <c r="K365" s="297">
        <v>44273</v>
      </c>
      <c r="L365" s="297">
        <v>43461</v>
      </c>
      <c r="M365" s="298" t="s">
        <v>2182</v>
      </c>
      <c r="N365" s="296" t="str">
        <f>"Guinee,Kindia,Dubreka,Khorira"</f>
        <v>Guinee,Kindia,Dubreka,Khorira</v>
      </c>
    </row>
    <row r="366" spans="2:14" ht="27" x14ac:dyDescent="0.15">
      <c r="B366" s="295" t="str">
        <f>"22039"</f>
        <v>22039</v>
      </c>
      <c r="C366" s="295" t="str">
        <f>"A2019/6967/MMG/SGG"</f>
        <v>A2019/6967/MMG/SGG</v>
      </c>
      <c r="D366" s="296" t="s">
        <v>2183</v>
      </c>
      <c r="E366" s="295" t="s">
        <v>254</v>
      </c>
      <c r="F366" s="295" t="s">
        <v>1568</v>
      </c>
      <c r="G366" s="295" t="s">
        <v>1565</v>
      </c>
      <c r="H366" s="295" t="s">
        <v>1565</v>
      </c>
      <c r="I366" s="297">
        <v>42699.501585648148</v>
      </c>
      <c r="J366" s="297">
        <v>42713</v>
      </c>
      <c r="K366" s="297">
        <v>44561</v>
      </c>
      <c r="L366" s="297">
        <v>42697</v>
      </c>
      <c r="M366" s="298" t="s">
        <v>2184</v>
      </c>
      <c r="N366" s="296" t="str">
        <f>"Guinee,Boke,Boffa,Kolia; Kindia,Telimele,Daramagnak"</f>
        <v>Guinee,Boke,Boffa,Kolia; Kindia,Telimele,Daramagnak</v>
      </c>
    </row>
    <row r="367" spans="2:14" ht="27" x14ac:dyDescent="0.15">
      <c r="B367" s="295" t="str">
        <f>"15396"</f>
        <v>15396</v>
      </c>
      <c r="C367" s="295" t="str">
        <f>"A2019/6966MMG/SGG"</f>
        <v>A2019/6966MMG/SGG</v>
      </c>
      <c r="D367" s="296" t="s">
        <v>2185</v>
      </c>
      <c r="E367" s="295" t="s">
        <v>1820</v>
      </c>
      <c r="F367" s="295" t="s">
        <v>640</v>
      </c>
      <c r="G367" s="295" t="s">
        <v>1565</v>
      </c>
      <c r="H367" s="295" t="s">
        <v>1873</v>
      </c>
      <c r="I367" s="297">
        <v>41634.573784722219</v>
      </c>
      <c r="J367" s="297">
        <v>41638</v>
      </c>
      <c r="K367" s="297">
        <v>44561</v>
      </c>
      <c r="L367" s="297">
        <v>41634</v>
      </c>
      <c r="M367" s="298" t="s">
        <v>2186</v>
      </c>
      <c r="N367" s="296" t="str">
        <f>"Guinee,Kankan,Kerouane,Banankoro, Kérouané-centre, Soromaya"</f>
        <v>Guinee,Kankan,Kerouane,Banankoro, Kérouané-centre, Soromaya</v>
      </c>
    </row>
    <row r="368" spans="2:14" ht="27" x14ac:dyDescent="0.15">
      <c r="B368" s="295" t="str">
        <f>"22027"</f>
        <v>22027</v>
      </c>
      <c r="C368" s="295" t="str">
        <f>"A2019/6965/MMG/SGG"</f>
        <v>A2019/6965/MMG/SGG</v>
      </c>
      <c r="D368" s="296" t="s">
        <v>2187</v>
      </c>
      <c r="E368" s="295" t="s">
        <v>1820</v>
      </c>
      <c r="F368" s="295" t="s">
        <v>640</v>
      </c>
      <c r="G368" s="295" t="s">
        <v>1565</v>
      </c>
      <c r="H368" s="295" t="s">
        <v>1565</v>
      </c>
      <c r="I368" s="297">
        <v>42676.558981481481</v>
      </c>
      <c r="J368" s="297">
        <v>42690</v>
      </c>
      <c r="K368" s="297">
        <v>44561</v>
      </c>
      <c r="L368" s="297">
        <v>42642</v>
      </c>
      <c r="M368" s="298" t="s">
        <v>2188</v>
      </c>
      <c r="N368" s="296" t="str">
        <f>"Guinee,Kankan,Kerouane,Sibiribaro, Soromaya"</f>
        <v>Guinee,Kankan,Kerouane,Sibiribaro, Soromaya</v>
      </c>
    </row>
    <row r="369" spans="2:14" ht="18.75" x14ac:dyDescent="0.15">
      <c r="B369" s="295" t="str">
        <f>"22043"</f>
        <v>22043</v>
      </c>
      <c r="C369" s="295" t="str">
        <f>"A2019/6964/MMG/SGG"</f>
        <v>A2019/6964/MMG/SGG</v>
      </c>
      <c r="D369" s="296" t="s">
        <v>2187</v>
      </c>
      <c r="E369" s="295" t="s">
        <v>154</v>
      </c>
      <c r="F369" s="295" t="s">
        <v>644</v>
      </c>
      <c r="G369" s="295" t="s">
        <v>1565</v>
      </c>
      <c r="H369" s="295" t="s">
        <v>1565</v>
      </c>
      <c r="I369" s="297">
        <v>42704.632928240739</v>
      </c>
      <c r="J369" s="297">
        <v>42725</v>
      </c>
      <c r="K369" s="297">
        <v>44926</v>
      </c>
      <c r="L369" s="297">
        <v>42642</v>
      </c>
      <c r="M369" s="298" t="s">
        <v>2189</v>
      </c>
      <c r="N369" s="296" t="str">
        <f>"Guinee,Kankan,Siguiri,Niagassola"</f>
        <v>Guinee,Kankan,Siguiri,Niagassola</v>
      </c>
    </row>
    <row r="370" spans="2:14" ht="27" x14ac:dyDescent="0.15">
      <c r="B370" s="295" t="str">
        <f>"22802"</f>
        <v>22802</v>
      </c>
      <c r="C370" s="295" t="str">
        <f>"A2019/6961/MMG/SGG"</f>
        <v>A2019/6961/MMG/SGG</v>
      </c>
      <c r="D370" s="296" t="s">
        <v>2190</v>
      </c>
      <c r="E370" s="295" t="s">
        <v>154</v>
      </c>
      <c r="F370" s="295" t="s">
        <v>644</v>
      </c>
      <c r="G370" s="295" t="s">
        <v>1565</v>
      </c>
      <c r="H370" s="295" t="s">
        <v>1565</v>
      </c>
      <c r="I370" s="297">
        <v>43825.389131944445</v>
      </c>
      <c r="J370" s="297">
        <v>43830</v>
      </c>
      <c r="K370" s="297">
        <v>44925</v>
      </c>
      <c r="L370" s="297">
        <v>43817</v>
      </c>
      <c r="M370" s="298" t="s">
        <v>2191</v>
      </c>
      <c r="N370" s="296" t="str">
        <f>"Guinee,Kankan,Kouroussa,Doura, Koumana, Sanguiana"</f>
        <v>Guinee,Kankan,Kouroussa,Doura, Koumana, Sanguiana</v>
      </c>
    </row>
    <row r="371" spans="2:14" ht="27" x14ac:dyDescent="0.15">
      <c r="B371" s="295" t="str">
        <f>"22803"</f>
        <v>22803</v>
      </c>
      <c r="C371" s="295" t="str">
        <f>"A2019/6959/MMG/SGG"</f>
        <v>A2019/6959/MMG/SGG</v>
      </c>
      <c r="D371" s="296" t="s">
        <v>2190</v>
      </c>
      <c r="E371" s="295" t="s">
        <v>154</v>
      </c>
      <c r="F371" s="295" t="s">
        <v>644</v>
      </c>
      <c r="G371" s="295" t="s">
        <v>1565</v>
      </c>
      <c r="H371" s="295" t="s">
        <v>1565</v>
      </c>
      <c r="I371" s="297">
        <v>43825.415347222224</v>
      </c>
      <c r="J371" s="297">
        <v>43830</v>
      </c>
      <c r="K371" s="297">
        <v>44925</v>
      </c>
      <c r="L371" s="297">
        <v>43817</v>
      </c>
      <c r="M371" s="298" t="s">
        <v>2192</v>
      </c>
      <c r="N371" s="296" t="str">
        <f>"Guinee,Kankan,Siguiri,Kiniebakoura, Siguiri-centre"</f>
        <v>Guinee,Kankan,Siguiri,Kiniebakoura, Siguiri-centre</v>
      </c>
    </row>
    <row r="372" spans="2:14" ht="27" x14ac:dyDescent="0.15">
      <c r="B372" s="295" t="str">
        <f>"22799"</f>
        <v>22799</v>
      </c>
      <c r="C372" s="295" t="str">
        <f>"A2019/6958/MMG/SGG"</f>
        <v>A2019/6958/MMG/SGG</v>
      </c>
      <c r="D372" s="296" t="s">
        <v>2193</v>
      </c>
      <c r="E372" s="295" t="s">
        <v>1813</v>
      </c>
      <c r="F372" s="295" t="s">
        <v>2194</v>
      </c>
      <c r="G372" s="295" t="s">
        <v>1565</v>
      </c>
      <c r="H372" s="295" t="s">
        <v>1565</v>
      </c>
      <c r="I372" s="297">
        <v>43818.479432870372</v>
      </c>
      <c r="J372" s="297">
        <v>43830</v>
      </c>
      <c r="K372" s="297">
        <v>44925</v>
      </c>
      <c r="L372" s="297">
        <v>43790</v>
      </c>
      <c r="M372" s="298" t="s">
        <v>2195</v>
      </c>
      <c r="N372" s="296" t="str">
        <f>"Guinee,Kindia,Coyah,Kouria"</f>
        <v>Guinee,Kindia,Coyah,Kouria</v>
      </c>
    </row>
    <row r="373" spans="2:14" ht="18.75" x14ac:dyDescent="0.15">
      <c r="B373" s="295" t="str">
        <f>"22792"</f>
        <v>22792</v>
      </c>
      <c r="C373" s="295" t="str">
        <f>"A2019/6957/MMG/SGG"</f>
        <v>A2019/6957/MMG/SGG</v>
      </c>
      <c r="D373" s="296" t="s">
        <v>2196</v>
      </c>
      <c r="E373" s="295" t="s">
        <v>154</v>
      </c>
      <c r="F373" s="295" t="s">
        <v>644</v>
      </c>
      <c r="G373" s="295" t="s">
        <v>1565</v>
      </c>
      <c r="H373" s="295" t="s">
        <v>1565</v>
      </c>
      <c r="I373" s="297">
        <v>43810.508148148147</v>
      </c>
      <c r="J373" s="297">
        <v>43830</v>
      </c>
      <c r="K373" s="297">
        <v>44925</v>
      </c>
      <c r="L373" s="297">
        <v>43794</v>
      </c>
      <c r="M373" s="298" t="s">
        <v>2197</v>
      </c>
      <c r="N373" s="296" t="str">
        <f>"Guinee,Kankan,Kankan,Mamouroudou"</f>
        <v>Guinee,Kankan,Kankan,Mamouroudou</v>
      </c>
    </row>
    <row r="374" spans="2:14" x14ac:dyDescent="0.15">
      <c r="B374" s="295" t="str">
        <f>"22793"</f>
        <v>22793</v>
      </c>
      <c r="C374" s="295" t="str">
        <f>"A2019/6759/MMG/SGG"</f>
        <v>A2019/6759/MMG/SGG</v>
      </c>
      <c r="D374" s="296" t="s">
        <v>2198</v>
      </c>
      <c r="E374" s="295" t="s">
        <v>78</v>
      </c>
      <c r="F374" s="295" t="s">
        <v>1769</v>
      </c>
      <c r="G374" s="295" t="s">
        <v>1565</v>
      </c>
      <c r="H374" s="295" t="s">
        <v>1565</v>
      </c>
      <c r="I374" s="297">
        <v>43810.604930555557</v>
      </c>
      <c r="J374" s="297">
        <v>43819</v>
      </c>
      <c r="K374" s="297">
        <v>44549</v>
      </c>
      <c r="L374" s="297">
        <v>43745</v>
      </c>
      <c r="M374" s="298" t="s">
        <v>2199</v>
      </c>
      <c r="N374" s="296" t="str">
        <f>"Guinee,Kindia,Dubreka,Khorira"</f>
        <v>Guinee,Kindia,Dubreka,Khorira</v>
      </c>
    </row>
    <row r="375" spans="2:14" ht="27" x14ac:dyDescent="0.15">
      <c r="B375" s="295" t="str">
        <f>"22780"</f>
        <v>22780</v>
      </c>
      <c r="C375" s="295" t="str">
        <f>"A2019/6750/MMG/SGG"</f>
        <v>A2019/6750/MMG/SGG</v>
      </c>
      <c r="D375" s="296" t="s">
        <v>2164</v>
      </c>
      <c r="E375" s="295" t="s">
        <v>154</v>
      </c>
      <c r="F375" s="295" t="s">
        <v>644</v>
      </c>
      <c r="G375" s="295" t="s">
        <v>1565</v>
      </c>
      <c r="H375" s="295" t="s">
        <v>1565</v>
      </c>
      <c r="I375" s="297">
        <v>43803.418599537035</v>
      </c>
      <c r="J375" s="297">
        <v>43819</v>
      </c>
      <c r="K375" s="297">
        <v>44914</v>
      </c>
      <c r="L375" s="297">
        <v>43789</v>
      </c>
      <c r="M375" s="298" t="s">
        <v>2200</v>
      </c>
      <c r="N375" s="296" t="str">
        <f>"Guinee,Kankan,Kankan,Balandougou, Missamana; Mandiana,Kantoumanina, Mandiana-centre"</f>
        <v>Guinee,Kankan,Kankan,Balandougou, Missamana; Mandiana,Kantoumanina, Mandiana-centre</v>
      </c>
    </row>
    <row r="376" spans="2:14" ht="27" x14ac:dyDescent="0.15">
      <c r="B376" s="295" t="str">
        <f>"22781"</f>
        <v>22781</v>
      </c>
      <c r="C376" s="295" t="str">
        <f>"A2019/6749/MMG/SGG"</f>
        <v>A2019/6749/MMG/SGG</v>
      </c>
      <c r="D376" s="296" t="s">
        <v>2162</v>
      </c>
      <c r="E376" s="295" t="s">
        <v>154</v>
      </c>
      <c r="F376" s="295" t="s">
        <v>644</v>
      </c>
      <c r="G376" s="295" t="s">
        <v>1565</v>
      </c>
      <c r="H376" s="295" t="s">
        <v>1565</v>
      </c>
      <c r="I376" s="297">
        <v>43803.459780092591</v>
      </c>
      <c r="J376" s="297">
        <v>43819</v>
      </c>
      <c r="K376" s="297">
        <v>44914</v>
      </c>
      <c r="L376" s="297">
        <v>43788</v>
      </c>
      <c r="M376" s="298" t="s">
        <v>2201</v>
      </c>
      <c r="N376" s="296" t="str">
        <f>"Guinee,Kankan,Kankan,Balandougou, Missamana; Mandiana,Kantoumanina, Mandiana-centre"</f>
        <v>Guinee,Kankan,Kankan,Balandougou, Missamana; Mandiana,Kantoumanina, Mandiana-centre</v>
      </c>
    </row>
    <row r="377" spans="2:14" x14ac:dyDescent="0.15">
      <c r="B377" s="295" t="str">
        <f>"22783"</f>
        <v>22783</v>
      </c>
      <c r="C377" s="295" t="str">
        <f>"A2019/6742/MMG/SGG"</f>
        <v>A2019/6742/MMG/SGG</v>
      </c>
      <c r="D377" s="296" t="s">
        <v>2202</v>
      </c>
      <c r="E377" s="295" t="s">
        <v>78</v>
      </c>
      <c r="F377" s="295" t="s">
        <v>1769</v>
      </c>
      <c r="G377" s="295" t="s">
        <v>1565</v>
      </c>
      <c r="H377" s="295" t="s">
        <v>1565</v>
      </c>
      <c r="I377" s="297">
        <v>43804.529039351852</v>
      </c>
      <c r="J377" s="297">
        <v>43818</v>
      </c>
      <c r="K377" s="297">
        <v>44548</v>
      </c>
      <c r="L377" s="297">
        <v>43773</v>
      </c>
      <c r="M377" s="298" t="s">
        <v>2203</v>
      </c>
      <c r="N377" s="296" t="str">
        <f>"Guinee,Kindia,Dubreka,Khorira"</f>
        <v>Guinee,Kindia,Dubreka,Khorira</v>
      </c>
    </row>
    <row r="378" spans="2:14" ht="27" x14ac:dyDescent="0.15">
      <c r="B378" s="295" t="str">
        <f>"22754"</f>
        <v>22754</v>
      </c>
      <c r="C378" s="295" t="str">
        <f>"A2019/6624/MMG/SGG"</f>
        <v>A2019/6624/MMG/SGG</v>
      </c>
      <c r="D378" s="296" t="s">
        <v>2204</v>
      </c>
      <c r="E378" s="295" t="s">
        <v>254</v>
      </c>
      <c r="F378" s="295" t="s">
        <v>1568</v>
      </c>
      <c r="G378" s="295" t="s">
        <v>1565</v>
      </c>
      <c r="H378" s="295" t="s">
        <v>1565</v>
      </c>
      <c r="I378" s="297">
        <v>43791.431909722225</v>
      </c>
      <c r="J378" s="297">
        <v>43809</v>
      </c>
      <c r="K378" s="297">
        <v>44904</v>
      </c>
      <c r="L378" s="297">
        <v>43628</v>
      </c>
      <c r="M378" s="298" t="s">
        <v>2205</v>
      </c>
      <c r="N378" s="296" t="str">
        <f>"Guinee,Kindia,Kindia,Bangouya, Kolenté, Souguéta; Mamou,Pita,Sangaréah"</f>
        <v>Guinee,Kindia,Kindia,Bangouya, Kolenté, Souguéta; Mamou,Pita,Sangaréah</v>
      </c>
    </row>
    <row r="379" spans="2:14" ht="18.75" x14ac:dyDescent="0.15">
      <c r="B379" s="295" t="str">
        <f>"22778"</f>
        <v>22778</v>
      </c>
      <c r="C379" s="295" t="str">
        <f>"A2019/6600/MMG/SGG"</f>
        <v>A2019/6600/MMG/SGG</v>
      </c>
      <c r="D379" s="296" t="s">
        <v>2206</v>
      </c>
      <c r="E379" s="295" t="s">
        <v>254</v>
      </c>
      <c r="F379" s="295" t="s">
        <v>1568</v>
      </c>
      <c r="G379" s="295" t="s">
        <v>1565</v>
      </c>
      <c r="H379" s="295" t="s">
        <v>1565</v>
      </c>
      <c r="I379" s="297">
        <v>43797.430937500001</v>
      </c>
      <c r="J379" s="297">
        <v>43809</v>
      </c>
      <c r="K379" s="297">
        <v>44904</v>
      </c>
      <c r="L379" s="297">
        <v>43763</v>
      </c>
      <c r="M379" s="298" t="s">
        <v>2207</v>
      </c>
      <c r="N379" s="296" t="str">
        <f>"Guinee,Kindia,Kindia,Madina-Oula, Souguéta"</f>
        <v>Guinee,Kindia,Kindia,Madina-Oula, Souguéta</v>
      </c>
    </row>
    <row r="380" spans="2:14" ht="18.75" x14ac:dyDescent="0.15">
      <c r="B380" s="295" t="str">
        <f>"22751"</f>
        <v>22751</v>
      </c>
      <c r="C380" s="295" t="str">
        <f>"A2019/6599/MMG/SGG"</f>
        <v>A2019/6599/MMG/SGG</v>
      </c>
      <c r="D380" s="296" t="s">
        <v>2208</v>
      </c>
      <c r="E380" s="295" t="s">
        <v>154</v>
      </c>
      <c r="F380" s="295" t="s">
        <v>644</v>
      </c>
      <c r="G380" s="295" t="s">
        <v>1565</v>
      </c>
      <c r="H380" s="295" t="s">
        <v>1565</v>
      </c>
      <c r="I380" s="297">
        <v>44298.343819444446</v>
      </c>
      <c r="J380" s="297">
        <v>44309</v>
      </c>
      <c r="K380" s="297">
        <v>45405</v>
      </c>
      <c r="L380" s="297">
        <v>44284</v>
      </c>
      <c r="M380" s="298" t="s">
        <v>2209</v>
      </c>
      <c r="N380" s="296" t="str">
        <f>"Guinee,Kankan,Siguiri,Doko, Niagassola"</f>
        <v>Guinee,Kankan,Siguiri,Doko, Niagassola</v>
      </c>
    </row>
    <row r="381" spans="2:14" ht="27" x14ac:dyDescent="0.15">
      <c r="B381" s="295" t="str">
        <f>"22752"</f>
        <v>22752</v>
      </c>
      <c r="C381" s="295" t="str">
        <f>"A2019/6598/MMG/SGG"</f>
        <v>A2019/6598/MMG/SGG</v>
      </c>
      <c r="D381" s="296" t="s">
        <v>2210</v>
      </c>
      <c r="E381" s="295" t="s">
        <v>254</v>
      </c>
      <c r="F381" s="295" t="s">
        <v>1568</v>
      </c>
      <c r="G381" s="295" t="s">
        <v>1565</v>
      </c>
      <c r="H381" s="295" t="s">
        <v>1565</v>
      </c>
      <c r="I381" s="297">
        <v>43789.41605324074</v>
      </c>
      <c r="J381" s="297">
        <v>43809</v>
      </c>
      <c r="K381" s="297">
        <v>44904</v>
      </c>
      <c r="L381" s="297">
        <v>43766</v>
      </c>
      <c r="M381" s="298" t="s">
        <v>2211</v>
      </c>
      <c r="N381" s="296" t="str">
        <f>"Guinee,Kindia,Kindia,Bangouya, Damakania, Kindia-centre, Samaya; Telimele,Kollet"</f>
        <v>Guinee,Kindia,Kindia,Bangouya, Damakania, Kindia-centre, Samaya; Telimele,Kollet</v>
      </c>
    </row>
    <row r="382" spans="2:14" ht="18.75" x14ac:dyDescent="0.15">
      <c r="B382" s="295" t="str">
        <f>"22017"</f>
        <v>22017</v>
      </c>
      <c r="C382" s="295" t="str">
        <f>"A2019/6597/MMG/SGG"</f>
        <v>A2019/6597/MMG/SGG</v>
      </c>
      <c r="D382" s="296" t="s">
        <v>270</v>
      </c>
      <c r="E382" s="295" t="s">
        <v>254</v>
      </c>
      <c r="F382" s="295" t="s">
        <v>1568</v>
      </c>
      <c r="G382" s="295" t="s">
        <v>1565</v>
      </c>
      <c r="H382" s="295" t="s">
        <v>1873</v>
      </c>
      <c r="I382" s="297">
        <v>42660.749166666668</v>
      </c>
      <c r="J382" s="297">
        <v>42668</v>
      </c>
      <c r="K382" s="297">
        <v>44540</v>
      </c>
      <c r="L382" s="297">
        <v>42656</v>
      </c>
      <c r="M382" s="298" t="s">
        <v>2212</v>
      </c>
      <c r="N382" s="296" t="str">
        <f>"Guinee,Kindia,Telimele,Sinta; Mamou,Pita,Sangaréah"</f>
        <v>Guinee,Kindia,Telimele,Sinta; Mamou,Pita,Sangaréah</v>
      </c>
    </row>
    <row r="383" spans="2:14" ht="18.75" x14ac:dyDescent="0.15">
      <c r="B383" s="295" t="str">
        <f>"22025"</f>
        <v>22025</v>
      </c>
      <c r="C383" s="295" t="str">
        <f>"A2019/6596/MMG/SGG"</f>
        <v>A2019/6596/MMG/SGG</v>
      </c>
      <c r="D383" s="296" t="s">
        <v>2213</v>
      </c>
      <c r="E383" s="295" t="s">
        <v>154</v>
      </c>
      <c r="F383" s="295" t="s">
        <v>644</v>
      </c>
      <c r="G383" s="295" t="s">
        <v>1565</v>
      </c>
      <c r="H383" s="295" t="s">
        <v>1873</v>
      </c>
      <c r="I383" s="297">
        <v>42675.5</v>
      </c>
      <c r="J383" s="297">
        <v>42690</v>
      </c>
      <c r="K383" s="297">
        <v>44540</v>
      </c>
      <c r="L383" s="297">
        <v>42667</v>
      </c>
      <c r="M383" s="298" t="s">
        <v>2214</v>
      </c>
      <c r="N383" s="296" t="str">
        <f>"Guinee,Kankan,Siguiri,Kintinian, Norassoba"</f>
        <v>Guinee,Kankan,Siguiri,Kintinian, Norassoba</v>
      </c>
    </row>
    <row r="384" spans="2:14" ht="27" x14ac:dyDescent="0.15">
      <c r="B384" s="295" t="str">
        <f>"22086"</f>
        <v>22086</v>
      </c>
      <c r="C384" s="295" t="str">
        <f>"A2019/6595/MMG/SGG"</f>
        <v>A2019/6595/MMG/SGG</v>
      </c>
      <c r="D384" s="296" t="s">
        <v>2215</v>
      </c>
      <c r="E384" s="295" t="s">
        <v>154</v>
      </c>
      <c r="F384" s="295" t="s">
        <v>644</v>
      </c>
      <c r="G384" s="295" t="s">
        <v>1565</v>
      </c>
      <c r="H384" s="295" t="s">
        <v>1678</v>
      </c>
      <c r="I384" s="297">
        <v>42779.464004629626</v>
      </c>
      <c r="J384" s="297">
        <v>42793</v>
      </c>
      <c r="K384" s="297">
        <v>44540</v>
      </c>
      <c r="L384" s="297">
        <v>42765</v>
      </c>
      <c r="M384" s="298" t="s">
        <v>2216</v>
      </c>
      <c r="N384" s="296" t="str">
        <f>"Guinee,Kankan,Siguiri,Kiniebakoura, Siguiri-centre"</f>
        <v>Guinee,Kankan,Siguiri,Kiniebakoura, Siguiri-centre</v>
      </c>
    </row>
    <row r="385" spans="2:14" ht="18.75" x14ac:dyDescent="0.15">
      <c r="B385" s="295" t="str">
        <f>"22750"</f>
        <v>22750</v>
      </c>
      <c r="C385" s="295" t="str">
        <f>"A2019/6491/MMG/SGG"</f>
        <v>A2019/6491/MMG/SGG</v>
      </c>
      <c r="D385" s="296" t="s">
        <v>1853</v>
      </c>
      <c r="E385" s="295" t="s">
        <v>254</v>
      </c>
      <c r="F385" s="295" t="s">
        <v>1568</v>
      </c>
      <c r="G385" s="295" t="s">
        <v>1565</v>
      </c>
      <c r="H385" s="295" t="s">
        <v>1565</v>
      </c>
      <c r="I385" s="297">
        <v>43788.643368055556</v>
      </c>
      <c r="J385" s="297">
        <v>43802</v>
      </c>
      <c r="K385" s="297">
        <v>44897</v>
      </c>
      <c r="L385" s="297">
        <v>43776</v>
      </c>
      <c r="M385" s="298" t="s">
        <v>2217</v>
      </c>
      <c r="N385" s="296" t="str">
        <f>"Guinee,Boke,Boffa,Tamita; Kindia,Dubreka,Tanéné"</f>
        <v>Guinee,Boke,Boffa,Tamita; Kindia,Dubreka,Tanéné</v>
      </c>
    </row>
    <row r="386" spans="2:14" ht="27" x14ac:dyDescent="0.15">
      <c r="B386" s="295" t="str">
        <f>"22024"</f>
        <v>22024</v>
      </c>
      <c r="C386" s="295" t="str">
        <f>"A2019/6489/MMG/SGG"</f>
        <v>A2019/6489/MMG/SGG</v>
      </c>
      <c r="D386" s="296" t="s">
        <v>2218</v>
      </c>
      <c r="E386" s="295" t="s">
        <v>154</v>
      </c>
      <c r="F386" s="295" t="s">
        <v>644</v>
      </c>
      <c r="G386" s="295" t="s">
        <v>1565</v>
      </c>
      <c r="H386" s="295" t="s">
        <v>1565</v>
      </c>
      <c r="I386" s="297">
        <v>42671.633333333331</v>
      </c>
      <c r="J386" s="297">
        <v>42690</v>
      </c>
      <c r="K386" s="297">
        <v>44533</v>
      </c>
      <c r="L386" s="297">
        <v>42670</v>
      </c>
      <c r="M386" s="298" t="s">
        <v>2219</v>
      </c>
      <c r="N386" s="296" t="str">
        <f>"Guinee,Kankan,Kankan,Balandougou, Baté-Nafadji; Mandiana,Koundian"</f>
        <v>Guinee,Kankan,Kankan,Balandougou, Baté-Nafadji; Mandiana,Koundian</v>
      </c>
    </row>
    <row r="387" spans="2:14" ht="18.75" x14ac:dyDescent="0.15">
      <c r="B387" s="295" t="str">
        <f>"22023"</f>
        <v>22023</v>
      </c>
      <c r="C387" s="295" t="str">
        <f>"A2019/6488/MMG/SGG"</f>
        <v>A2019/6488/MMG/SGG</v>
      </c>
      <c r="D387" s="296" t="s">
        <v>2218</v>
      </c>
      <c r="E387" s="295" t="s">
        <v>154</v>
      </c>
      <c r="F387" s="295" t="s">
        <v>644</v>
      </c>
      <c r="G387" s="295" t="s">
        <v>1565</v>
      </c>
      <c r="H387" s="295" t="s">
        <v>1565</v>
      </c>
      <c r="I387" s="297">
        <v>42671</v>
      </c>
      <c r="J387" s="297">
        <v>42690</v>
      </c>
      <c r="K387" s="297">
        <v>44533</v>
      </c>
      <c r="L387" s="297">
        <v>42670</v>
      </c>
      <c r="M387" s="298" t="s">
        <v>2220</v>
      </c>
      <c r="N387" s="296" t="str">
        <f>"Guinee,Kankan,Kankan,Balandougou, Baté-Nafadji"</f>
        <v>Guinee,Kankan,Kankan,Balandougou, Baté-Nafadji</v>
      </c>
    </row>
    <row r="388" spans="2:14" ht="18.75" x14ac:dyDescent="0.15">
      <c r="B388" s="295" t="str">
        <f>"22007"</f>
        <v>22007</v>
      </c>
      <c r="C388" s="295" t="str">
        <f>"A2019/6428/MMG"</f>
        <v>A2019/6428/MMG</v>
      </c>
      <c r="D388" s="296" t="s">
        <v>2221</v>
      </c>
      <c r="E388" s="295" t="s">
        <v>254</v>
      </c>
      <c r="F388" s="295" t="s">
        <v>1568</v>
      </c>
      <c r="G388" s="295" t="s">
        <v>1565</v>
      </c>
      <c r="H388" s="295" t="s">
        <v>1565</v>
      </c>
      <c r="I388" s="297">
        <v>42650.652581018519</v>
      </c>
      <c r="J388" s="297">
        <v>42668</v>
      </c>
      <c r="K388" s="297">
        <v>44522</v>
      </c>
      <c r="L388" s="297">
        <v>42649</v>
      </c>
      <c r="M388" s="298" t="s">
        <v>2222</v>
      </c>
      <c r="N388" s="296" t="str">
        <f>"Guinee,Kindia,Kindia,Bangouya, Kindia-centre, Kolenté, Samaya"</f>
        <v>Guinee,Kindia,Kindia,Bangouya, Kindia-centre, Kolenté, Samaya</v>
      </c>
    </row>
    <row r="389" spans="2:14" ht="27" x14ac:dyDescent="0.15">
      <c r="B389" s="295" t="str">
        <f>"22045"</f>
        <v>22045</v>
      </c>
      <c r="C389" s="295" t="str">
        <f>"A2019/6426/MMG/SGG"</f>
        <v>A2019/6426/MMG/SGG</v>
      </c>
      <c r="D389" s="296" t="s">
        <v>2223</v>
      </c>
      <c r="E389" s="295" t="s">
        <v>154</v>
      </c>
      <c r="F389" s="295" t="s">
        <v>644</v>
      </c>
      <c r="G389" s="295" t="s">
        <v>1565</v>
      </c>
      <c r="H389" s="295" t="s">
        <v>1678</v>
      </c>
      <c r="I389" s="297">
        <v>42706.656365740739</v>
      </c>
      <c r="J389" s="297">
        <v>42725</v>
      </c>
      <c r="K389" s="297">
        <v>44522</v>
      </c>
      <c r="L389" s="297">
        <v>42705</v>
      </c>
      <c r="M389" s="298" t="s">
        <v>2224</v>
      </c>
      <c r="N389" s="296" t="str">
        <f>"Guinee,Kankan,Siguiri,Kintinian, Maléa"</f>
        <v>Guinee,Kankan,Siguiri,Kintinian, Maléa</v>
      </c>
    </row>
    <row r="390" spans="2:14" ht="18.75" x14ac:dyDescent="0.15">
      <c r="B390" s="295" t="str">
        <f>"22108"</f>
        <v>22108</v>
      </c>
      <c r="C390" s="295" t="str">
        <f>"A2019/6425/MMG/SGG"</f>
        <v>A2019/6425/MMG/SGG</v>
      </c>
      <c r="D390" s="296" t="s">
        <v>2223</v>
      </c>
      <c r="E390" s="295" t="s">
        <v>154</v>
      </c>
      <c r="F390" s="295" t="s">
        <v>644</v>
      </c>
      <c r="G390" s="295" t="s">
        <v>1565</v>
      </c>
      <c r="H390" s="295" t="s">
        <v>1565</v>
      </c>
      <c r="I390" s="297">
        <v>42815.319641203707</v>
      </c>
      <c r="J390" s="297">
        <v>42825</v>
      </c>
      <c r="K390" s="297">
        <v>44522</v>
      </c>
      <c r="L390" s="297">
        <v>42811</v>
      </c>
      <c r="M390" s="298" t="s">
        <v>2225</v>
      </c>
      <c r="N390" s="296" t="str">
        <f>"Guinee,Kankan,Siguiri,Kintinian, Norassoba"</f>
        <v>Guinee,Kankan,Siguiri,Kintinian, Norassoba</v>
      </c>
    </row>
    <row r="391" spans="2:14" ht="27" x14ac:dyDescent="0.15">
      <c r="B391" s="295" t="str">
        <f>"22072"</f>
        <v>22072</v>
      </c>
      <c r="C391" s="295" t="str">
        <f>"A2019/6424/MMG/SGG"</f>
        <v>A2019/6424/MMG/SGG</v>
      </c>
      <c r="D391" s="296" t="s">
        <v>2226</v>
      </c>
      <c r="E391" s="295" t="s">
        <v>154</v>
      </c>
      <c r="F391" s="295" t="s">
        <v>644</v>
      </c>
      <c r="G391" s="295" t="s">
        <v>1565</v>
      </c>
      <c r="H391" s="295" t="s">
        <v>1873</v>
      </c>
      <c r="I391" s="297">
        <v>42741.535671296297</v>
      </c>
      <c r="J391" s="297">
        <v>42748</v>
      </c>
      <c r="K391" s="297">
        <v>44522</v>
      </c>
      <c r="L391" s="297">
        <v>42737</v>
      </c>
      <c r="M391" s="298" t="s">
        <v>2227</v>
      </c>
      <c r="N391" s="296" t="str">
        <f>"Guinee,Kankan,Mandiana,Balandougouba, Koundianakoro"</f>
        <v>Guinee,Kankan,Mandiana,Balandougouba, Koundianakoro</v>
      </c>
    </row>
    <row r="392" spans="2:14" ht="27" x14ac:dyDescent="0.15">
      <c r="B392" s="295" t="str">
        <f>"22071"</f>
        <v>22071</v>
      </c>
      <c r="C392" s="295" t="str">
        <f>"A2019/6423/MMG/SGG"</f>
        <v>A2019/6423/MMG/SGG</v>
      </c>
      <c r="D392" s="296" t="s">
        <v>2226</v>
      </c>
      <c r="E392" s="295" t="s">
        <v>154</v>
      </c>
      <c r="F392" s="295" t="s">
        <v>644</v>
      </c>
      <c r="G392" s="295" t="s">
        <v>1565</v>
      </c>
      <c r="H392" s="295" t="s">
        <v>1565</v>
      </c>
      <c r="I392" s="297">
        <v>42741.505856481483</v>
      </c>
      <c r="J392" s="297">
        <v>42748</v>
      </c>
      <c r="K392" s="297">
        <v>44522</v>
      </c>
      <c r="L392" s="297">
        <v>42737</v>
      </c>
      <c r="M392" s="298" t="s">
        <v>2228</v>
      </c>
      <c r="N392" s="296" t="str">
        <f>"Guinee,Kankan,Kouroussa,Baro, Kiniéro"</f>
        <v>Guinee,Kankan,Kouroussa,Baro, Kiniéro</v>
      </c>
    </row>
    <row r="393" spans="2:14" ht="27" x14ac:dyDescent="0.15">
      <c r="B393" s="295" t="str">
        <f>"22728"</f>
        <v>22728</v>
      </c>
      <c r="C393" s="295" t="str">
        <f>"A2019/6172/MMG/SGG"</f>
        <v>A2019/6172/MMG/SGG</v>
      </c>
      <c r="D393" s="296" t="s">
        <v>2229</v>
      </c>
      <c r="E393" s="295" t="s">
        <v>78</v>
      </c>
      <c r="F393" s="295" t="s">
        <v>1755</v>
      </c>
      <c r="G393" s="295" t="s">
        <v>1565</v>
      </c>
      <c r="H393" s="295" t="s">
        <v>1565</v>
      </c>
      <c r="I393" s="297">
        <v>43749.672962962963</v>
      </c>
      <c r="J393" s="297">
        <v>43775</v>
      </c>
      <c r="K393" s="297">
        <v>44505</v>
      </c>
      <c r="L393" s="297">
        <v>43722</v>
      </c>
      <c r="M393" s="298" t="s">
        <v>2230</v>
      </c>
      <c r="N393" s="296" t="str">
        <f>"Guinee,Kindia,Kindia,Kolenté"</f>
        <v>Guinee,Kindia,Kindia,Kolenté</v>
      </c>
    </row>
    <row r="394" spans="2:14" ht="18.75" x14ac:dyDescent="0.15">
      <c r="B394" s="295" t="str">
        <f>"22726"</f>
        <v>22726</v>
      </c>
      <c r="C394" s="295" t="str">
        <f>"A2019/6163/MMG/SGG"</f>
        <v>A2019/6163/MMG/SGG</v>
      </c>
      <c r="D394" s="296" t="s">
        <v>2231</v>
      </c>
      <c r="E394" s="295" t="s">
        <v>154</v>
      </c>
      <c r="F394" s="295" t="s">
        <v>644</v>
      </c>
      <c r="G394" s="295" t="s">
        <v>1565</v>
      </c>
      <c r="H394" s="295" t="s">
        <v>1565</v>
      </c>
      <c r="I394" s="297">
        <v>43749.55572916667</v>
      </c>
      <c r="J394" s="297">
        <v>43775</v>
      </c>
      <c r="K394" s="297">
        <v>44870</v>
      </c>
      <c r="L394" s="297">
        <v>43746</v>
      </c>
      <c r="M394" s="298" t="s">
        <v>2232</v>
      </c>
      <c r="N394" s="296" t="str">
        <f>"Guinee,Faranah,Dinguiraye,Dinguiraye-cent"</f>
        <v>Guinee,Faranah,Dinguiraye,Dinguiraye-cent</v>
      </c>
    </row>
    <row r="395" spans="2:14" ht="18.75" x14ac:dyDescent="0.15">
      <c r="B395" s="295" t="str">
        <f>"22029"</f>
        <v>22029</v>
      </c>
      <c r="C395" s="295" t="str">
        <f>"A2019/6162/MMG/SGG"</f>
        <v>A2019/6162/MMG/SGG</v>
      </c>
      <c r="D395" s="296" t="s">
        <v>2233</v>
      </c>
      <c r="E395" s="295" t="s">
        <v>154</v>
      </c>
      <c r="F395" s="295" t="s">
        <v>644</v>
      </c>
      <c r="G395" s="295" t="s">
        <v>1565</v>
      </c>
      <c r="H395" s="295" t="s">
        <v>1873</v>
      </c>
      <c r="I395" s="297">
        <v>42676.707708333335</v>
      </c>
      <c r="J395" s="297">
        <v>42690</v>
      </c>
      <c r="K395" s="297">
        <v>44506</v>
      </c>
      <c r="L395" s="297">
        <v>42320</v>
      </c>
      <c r="M395" s="298" t="s">
        <v>2234</v>
      </c>
      <c r="N395" s="296" t="str">
        <f>"Guinee,Faranah,Dinguiraye,Dinguiraye-cent"</f>
        <v>Guinee,Faranah,Dinguiraye,Dinguiraye-cent</v>
      </c>
    </row>
    <row r="396" spans="2:14" ht="18.75" x14ac:dyDescent="0.15">
      <c r="B396" s="295" t="str">
        <f>"22030"</f>
        <v>22030</v>
      </c>
      <c r="C396" s="295" t="str">
        <f>"A2019/6161/MMG/SGG"</f>
        <v>A2019/6161/MMG/SGG</v>
      </c>
      <c r="D396" s="296" t="s">
        <v>2235</v>
      </c>
      <c r="E396" s="295" t="s">
        <v>154</v>
      </c>
      <c r="F396" s="295" t="s">
        <v>644</v>
      </c>
      <c r="G396" s="295" t="s">
        <v>1565</v>
      </c>
      <c r="H396" s="295" t="s">
        <v>1873</v>
      </c>
      <c r="I396" s="297">
        <v>42677.415370370371</v>
      </c>
      <c r="J396" s="297">
        <v>42692</v>
      </c>
      <c r="K396" s="297">
        <v>44506</v>
      </c>
      <c r="L396" s="297">
        <v>42578</v>
      </c>
      <c r="M396" s="298" t="s">
        <v>2236</v>
      </c>
      <c r="N396" s="296" t="str">
        <f>"Guinee,Kankan,Siguiri,Kintinian, Maléa"</f>
        <v>Guinee,Kankan,Siguiri,Kintinian, Maléa</v>
      </c>
    </row>
    <row r="397" spans="2:14" ht="27" x14ac:dyDescent="0.15">
      <c r="B397" s="295" t="str">
        <f>"22717"</f>
        <v>22717</v>
      </c>
      <c r="C397" s="295" t="str">
        <f>"A2019/6160/MMG/SGG"</f>
        <v>A2019/6160/MMG/SGG</v>
      </c>
      <c r="D397" s="296" t="s">
        <v>1896</v>
      </c>
      <c r="E397" s="295" t="s">
        <v>154</v>
      </c>
      <c r="F397" s="295" t="s">
        <v>644</v>
      </c>
      <c r="G397" s="295" t="s">
        <v>1565</v>
      </c>
      <c r="H397" s="295" t="s">
        <v>1678</v>
      </c>
      <c r="I397" s="297">
        <v>43728.563935185186</v>
      </c>
      <c r="J397" s="297">
        <v>43775</v>
      </c>
      <c r="K397" s="297">
        <v>44870</v>
      </c>
      <c r="L397" s="297">
        <v>43720</v>
      </c>
      <c r="M397" s="298" t="s">
        <v>2237</v>
      </c>
      <c r="N397" s="296" t="str">
        <f>"Guinee,Labe,Mali,Balaki"</f>
        <v>Guinee,Labe,Mali,Balaki</v>
      </c>
    </row>
    <row r="398" spans="2:14" ht="27" x14ac:dyDescent="0.15">
      <c r="B398" s="295" t="str">
        <f>"22718"</f>
        <v>22718</v>
      </c>
      <c r="C398" s="295" t="str">
        <f>"A2019/6159/MMG/SGG"</f>
        <v>A2019/6159/MMG/SGG</v>
      </c>
      <c r="D398" s="296" t="s">
        <v>1896</v>
      </c>
      <c r="E398" s="295" t="s">
        <v>154</v>
      </c>
      <c r="F398" s="295" t="s">
        <v>644</v>
      </c>
      <c r="G398" s="295" t="s">
        <v>1565</v>
      </c>
      <c r="H398" s="295" t="s">
        <v>1678</v>
      </c>
      <c r="I398" s="297">
        <v>43728.598333333335</v>
      </c>
      <c r="J398" s="297">
        <v>43775</v>
      </c>
      <c r="K398" s="297">
        <v>44870</v>
      </c>
      <c r="L398" s="297">
        <v>43720</v>
      </c>
      <c r="M398" s="298" t="s">
        <v>2238</v>
      </c>
      <c r="N398" s="296" t="str">
        <f>"Guinee,Labe,Koubia,Gadha woundou; Mali,Balaki"</f>
        <v>Guinee,Labe,Koubia,Gadha woundou; Mali,Balaki</v>
      </c>
    </row>
    <row r="399" spans="2:14" ht="18.75" x14ac:dyDescent="0.15">
      <c r="B399" s="295" t="str">
        <f>"17598"</f>
        <v>17598</v>
      </c>
      <c r="C399" s="295" t="str">
        <f>"A2019/607/MMG"</f>
        <v>A2019/607/MMG</v>
      </c>
      <c r="D399" s="296" t="s">
        <v>2239</v>
      </c>
      <c r="E399" s="295" t="s">
        <v>154</v>
      </c>
      <c r="F399" s="295" t="s">
        <v>644</v>
      </c>
      <c r="G399" s="295" t="s">
        <v>1565</v>
      </c>
      <c r="H399" s="295" t="s">
        <v>1565</v>
      </c>
      <c r="I399" s="297">
        <v>42514</v>
      </c>
      <c r="J399" s="297">
        <v>41459</v>
      </c>
      <c r="K399" s="297">
        <v>44253</v>
      </c>
      <c r="L399" s="297">
        <v>41245</v>
      </c>
      <c r="M399" s="298" t="s">
        <v>2240</v>
      </c>
      <c r="N399" s="296" t="str">
        <f>"Guinee,Kankan,Kouroussa,Komola-khoura; Siguiri,Norassoba"</f>
        <v>Guinee,Kankan,Kouroussa,Komola-khoura; Siguiri,Norassoba</v>
      </c>
    </row>
    <row r="400" spans="2:14" ht="27" x14ac:dyDescent="0.15">
      <c r="B400" s="295" t="str">
        <f>"22566"</f>
        <v>22566</v>
      </c>
      <c r="C400" s="295" t="str">
        <f>"A2019/602/MMG"</f>
        <v>A2019/602/MMG</v>
      </c>
      <c r="D400" s="296" t="s">
        <v>2241</v>
      </c>
      <c r="E400" s="295" t="s">
        <v>78</v>
      </c>
      <c r="F400" s="295" t="s">
        <v>1781</v>
      </c>
      <c r="G400" s="295" t="s">
        <v>1565</v>
      </c>
      <c r="H400" s="295" t="s">
        <v>1565</v>
      </c>
      <c r="I400" s="297">
        <v>43510.573460648149</v>
      </c>
      <c r="J400" s="297">
        <v>43522</v>
      </c>
      <c r="K400" s="297">
        <v>44252</v>
      </c>
      <c r="L400" s="297">
        <v>43445</v>
      </c>
      <c r="M400" s="298" t="s">
        <v>2242</v>
      </c>
      <c r="N400" s="296" t="str">
        <f>"Guinee,Boke,Boffa,Tougnifily"</f>
        <v>Guinee,Boke,Boffa,Tougnifily</v>
      </c>
    </row>
    <row r="401" spans="2:14" ht="27" x14ac:dyDescent="0.15">
      <c r="B401" s="295" t="str">
        <f>"22546"</f>
        <v>22546</v>
      </c>
      <c r="C401" s="295" t="str">
        <f>"A2019/600/MMG"</f>
        <v>A2019/600/MMG</v>
      </c>
      <c r="D401" s="296" t="s">
        <v>2243</v>
      </c>
      <c r="E401" s="295" t="s">
        <v>154</v>
      </c>
      <c r="F401" s="295" t="s">
        <v>644</v>
      </c>
      <c r="G401" s="295" t="s">
        <v>1565</v>
      </c>
      <c r="H401" s="295" t="s">
        <v>1678</v>
      </c>
      <c r="I401" s="297">
        <v>43475.593275462961</v>
      </c>
      <c r="J401" s="297">
        <v>43522</v>
      </c>
      <c r="K401" s="297">
        <v>44617</v>
      </c>
      <c r="L401" s="297">
        <v>43433</v>
      </c>
      <c r="M401" s="298" t="s">
        <v>2244</v>
      </c>
      <c r="N401" s="296" t="str">
        <f>"Guinee,Kankan,Mandiana,Kiniéran"</f>
        <v>Guinee,Kankan,Mandiana,Kiniéran</v>
      </c>
    </row>
    <row r="402" spans="2:14" ht="27" x14ac:dyDescent="0.15">
      <c r="B402" s="295" t="str">
        <f>"22724"</f>
        <v>22724</v>
      </c>
      <c r="C402" s="295" t="str">
        <f>"A2019/5979/MMG"</f>
        <v>A2019/5979/MMG</v>
      </c>
      <c r="D402" s="296" t="s">
        <v>2040</v>
      </c>
      <c r="E402" s="295" t="s">
        <v>154</v>
      </c>
      <c r="F402" s="295" t="s">
        <v>644</v>
      </c>
      <c r="G402" s="295" t="s">
        <v>1565</v>
      </c>
      <c r="H402" s="295" t="s">
        <v>1873</v>
      </c>
      <c r="I402" s="297">
        <v>43746.479189814818</v>
      </c>
      <c r="J402" s="297">
        <v>43761</v>
      </c>
      <c r="K402" s="297">
        <v>44856</v>
      </c>
      <c r="L402" s="297">
        <v>43742</v>
      </c>
      <c r="M402" s="298" t="s">
        <v>2245</v>
      </c>
      <c r="N402" s="296" t="str">
        <f>"Guinee,Kankan,Kouroussa,Sanguiana"</f>
        <v>Guinee,Kankan,Kouroussa,Sanguiana</v>
      </c>
    </row>
    <row r="403" spans="2:14" ht="27" x14ac:dyDescent="0.15">
      <c r="B403" s="295" t="str">
        <f>"22723"</f>
        <v>22723</v>
      </c>
      <c r="C403" s="295" t="str">
        <f>"A2019/5978/MMG"</f>
        <v>A2019/5978/MMG</v>
      </c>
      <c r="D403" s="296" t="s">
        <v>2040</v>
      </c>
      <c r="E403" s="295" t="s">
        <v>254</v>
      </c>
      <c r="F403" s="295" t="s">
        <v>1568</v>
      </c>
      <c r="G403" s="295" t="s">
        <v>1565</v>
      </c>
      <c r="H403" s="295" t="s">
        <v>1873</v>
      </c>
      <c r="I403" s="297">
        <v>43746.452986111108</v>
      </c>
      <c r="J403" s="297">
        <v>43761</v>
      </c>
      <c r="K403" s="297">
        <v>44856</v>
      </c>
      <c r="L403" s="297">
        <v>43742</v>
      </c>
      <c r="M403" s="298" t="s">
        <v>2246</v>
      </c>
      <c r="N403" s="296" t="str">
        <f>"Guinee,Boke,Gaoual,Kounsitel; Labe,Mali,Dougountouny, Madina wora, Touba Bagadadji"</f>
        <v>Guinee,Boke,Gaoual,Kounsitel; Labe,Mali,Dougountouny, Madina wora, Touba Bagadadji</v>
      </c>
    </row>
    <row r="404" spans="2:14" ht="40.5" x14ac:dyDescent="0.15">
      <c r="B404" s="295" t="str">
        <f>"22719"</f>
        <v>22719</v>
      </c>
      <c r="C404" s="295" t="str">
        <f>"A2019/5977/MMG"</f>
        <v>A2019/5977/MMG</v>
      </c>
      <c r="D404" s="296" t="s">
        <v>2247</v>
      </c>
      <c r="E404" s="295" t="s">
        <v>78</v>
      </c>
      <c r="F404" s="295" t="s">
        <v>1769</v>
      </c>
      <c r="G404" s="295" t="s">
        <v>1565</v>
      </c>
      <c r="H404" s="295" t="s">
        <v>1565</v>
      </c>
      <c r="I404" s="297">
        <v>43734.562465277777</v>
      </c>
      <c r="J404" s="297">
        <v>43761</v>
      </c>
      <c r="K404" s="297">
        <v>44491</v>
      </c>
      <c r="L404" s="297">
        <v>43650</v>
      </c>
      <c r="M404" s="298" t="s">
        <v>2248</v>
      </c>
      <c r="N404" s="296" t="str">
        <f>"Guinee,Kindia,Forecariah,Maférinya"</f>
        <v>Guinee,Kindia,Forecariah,Maférinya</v>
      </c>
    </row>
    <row r="405" spans="2:14" ht="27" x14ac:dyDescent="0.15">
      <c r="B405" s="295" t="str">
        <f>"22725"</f>
        <v>22725</v>
      </c>
      <c r="C405" s="295" t="str">
        <f>"A2019/5976/MMG"</f>
        <v>A2019/5976/MMG</v>
      </c>
      <c r="D405" s="296" t="s">
        <v>2249</v>
      </c>
      <c r="E405" s="295" t="s">
        <v>78</v>
      </c>
      <c r="F405" s="295" t="s">
        <v>1781</v>
      </c>
      <c r="G405" s="295" t="s">
        <v>1565</v>
      </c>
      <c r="H405" s="295" t="s">
        <v>1678</v>
      </c>
      <c r="I405" s="297">
        <v>43746.474895833337</v>
      </c>
      <c r="J405" s="297">
        <v>43761</v>
      </c>
      <c r="K405" s="297">
        <v>44491</v>
      </c>
      <c r="L405" s="297">
        <v>43726</v>
      </c>
      <c r="M405" s="298" t="s">
        <v>2250</v>
      </c>
      <c r="N405" s="296" t="str">
        <f>"Guinee,Boke,Boke,Malapouyah"</f>
        <v>Guinee,Boke,Boke,Malapouyah</v>
      </c>
    </row>
    <row r="406" spans="2:14" ht="27" x14ac:dyDescent="0.15">
      <c r="B406" s="295" t="str">
        <f>"22713"</f>
        <v>22713</v>
      </c>
      <c r="C406" s="295" t="str">
        <f>"A2019/5803/MMG"</f>
        <v>A2019/5803/MMG</v>
      </c>
      <c r="D406" s="296" t="s">
        <v>2251</v>
      </c>
      <c r="E406" s="295" t="s">
        <v>1794</v>
      </c>
      <c r="F406" s="295" t="s">
        <v>1594</v>
      </c>
      <c r="G406" s="295" t="s">
        <v>1565</v>
      </c>
      <c r="H406" s="295" t="s">
        <v>1678</v>
      </c>
      <c r="I406" s="297">
        <v>43721.710856481484</v>
      </c>
      <c r="J406" s="297">
        <v>43742</v>
      </c>
      <c r="K406" s="297">
        <v>44837</v>
      </c>
      <c r="L406" s="297">
        <v>43696</v>
      </c>
      <c r="M406" s="298" t="s">
        <v>2252</v>
      </c>
      <c r="N406" s="296" t="str">
        <f>"Guinee,N'Zerekore,Yomou,Bignamou, Diécké"</f>
        <v>Guinee,N'Zerekore,Yomou,Bignamou, Diécké</v>
      </c>
    </row>
    <row r="407" spans="2:14" ht="27" x14ac:dyDescent="0.15">
      <c r="B407" s="295" t="str">
        <f>"22026"</f>
        <v>22026</v>
      </c>
      <c r="C407" s="295" t="str">
        <f>"A2019/5802/MMG/SGG"</f>
        <v>A2019/5802/MMG/SGG</v>
      </c>
      <c r="D407" s="296" t="s">
        <v>2253</v>
      </c>
      <c r="E407" s="295" t="s">
        <v>254</v>
      </c>
      <c r="F407" s="295" t="s">
        <v>1568</v>
      </c>
      <c r="G407" s="295" t="s">
        <v>1565</v>
      </c>
      <c r="H407" s="295" t="s">
        <v>1873</v>
      </c>
      <c r="I407" s="297">
        <v>42675.642361111109</v>
      </c>
      <c r="J407" s="297">
        <v>42690</v>
      </c>
      <c r="K407" s="297">
        <v>44473</v>
      </c>
      <c r="L407" s="297">
        <v>42686</v>
      </c>
      <c r="M407" s="298" t="s">
        <v>2254</v>
      </c>
      <c r="N407" s="296" t="str">
        <f>"Guinee,Kindia,Dubreka,Tondon; Kindia,Bangouya, Samaya; Telimele,Kollet"</f>
        <v>Guinee,Kindia,Dubreka,Tondon; Kindia,Bangouya, Samaya; Telimele,Kollet</v>
      </c>
    </row>
    <row r="408" spans="2:14" ht="27" x14ac:dyDescent="0.15">
      <c r="B408" s="295" t="str">
        <f>"22710"</f>
        <v>22710</v>
      </c>
      <c r="C408" s="295" t="str">
        <f>"A2019/5791/MMG"</f>
        <v>A2019/5791/MMG</v>
      </c>
      <c r="D408" s="296" t="s">
        <v>2255</v>
      </c>
      <c r="E408" s="295" t="s">
        <v>1794</v>
      </c>
      <c r="F408" s="295" t="s">
        <v>1594</v>
      </c>
      <c r="G408" s="295" t="s">
        <v>1565</v>
      </c>
      <c r="H408" s="295" t="s">
        <v>1565</v>
      </c>
      <c r="I408" s="297">
        <v>43720.57708333333</v>
      </c>
      <c r="J408" s="297">
        <v>43741</v>
      </c>
      <c r="K408" s="297">
        <v>44836</v>
      </c>
      <c r="L408" s="297">
        <v>43706</v>
      </c>
      <c r="M408" s="298" t="s">
        <v>2256</v>
      </c>
      <c r="N408" s="296" t="str">
        <f>"Guinee,N'Zerekore,Lola,Gama-Béréma, Kokota, Lola-centre"</f>
        <v>Guinee,N'Zerekore,Lola,Gama-Béréma, Kokota, Lola-centre</v>
      </c>
    </row>
    <row r="409" spans="2:14" ht="18.75" x14ac:dyDescent="0.15">
      <c r="B409" s="295" t="str">
        <f>"22707"</f>
        <v>22707</v>
      </c>
      <c r="C409" s="295" t="str">
        <f>"A2019/5790/MMG"</f>
        <v>A2019/5790/MMG</v>
      </c>
      <c r="D409" s="296" t="s">
        <v>2257</v>
      </c>
      <c r="E409" s="295" t="s">
        <v>254</v>
      </c>
      <c r="F409" s="295" t="s">
        <v>1568</v>
      </c>
      <c r="G409" s="295" t="s">
        <v>1565</v>
      </c>
      <c r="H409" s="295" t="s">
        <v>1565</v>
      </c>
      <c r="I409" s="297">
        <v>43719.542638888888</v>
      </c>
      <c r="J409" s="297">
        <v>43741</v>
      </c>
      <c r="K409" s="297">
        <v>44836</v>
      </c>
      <c r="L409" s="297">
        <v>43704</v>
      </c>
      <c r="M409" s="298" t="s">
        <v>2258</v>
      </c>
      <c r="N409" s="296" t="str">
        <f>"Guinee,Kindia,Kindia,Samaya"</f>
        <v>Guinee,Kindia,Kindia,Samaya</v>
      </c>
    </row>
    <row r="410" spans="2:14" ht="18.75" x14ac:dyDescent="0.15">
      <c r="B410" s="295" t="str">
        <f>"22712"</f>
        <v>22712</v>
      </c>
      <c r="C410" s="295" t="str">
        <f>"A2019/5789/MMG"</f>
        <v>A2019/5789/MMG</v>
      </c>
      <c r="D410" s="296" t="s">
        <v>2259</v>
      </c>
      <c r="E410" s="295" t="s">
        <v>154</v>
      </c>
      <c r="F410" s="295" t="s">
        <v>644</v>
      </c>
      <c r="G410" s="295" t="s">
        <v>1565</v>
      </c>
      <c r="H410" s="295" t="s">
        <v>1565</v>
      </c>
      <c r="I410" s="297">
        <v>43720.721759259257</v>
      </c>
      <c r="J410" s="297">
        <v>43745</v>
      </c>
      <c r="K410" s="297">
        <v>44840</v>
      </c>
      <c r="L410" s="297">
        <v>43717</v>
      </c>
      <c r="M410" s="298" t="s">
        <v>2260</v>
      </c>
      <c r="N410" s="296" t="str">
        <f>"Guinee,Kankan,Mandiana,Balandougouba, Dialokoro"</f>
        <v>Guinee,Kankan,Mandiana,Balandougouba, Dialokoro</v>
      </c>
    </row>
    <row r="411" spans="2:14" ht="27" x14ac:dyDescent="0.15">
      <c r="B411" s="295" t="str">
        <f>"22028"</f>
        <v>22028</v>
      </c>
      <c r="C411" s="295" t="str">
        <f>"A2019/5786/MMG"</f>
        <v>A2019/5786/MMG</v>
      </c>
      <c r="D411" s="296" t="s">
        <v>2261</v>
      </c>
      <c r="E411" s="295" t="s">
        <v>254</v>
      </c>
      <c r="F411" s="295" t="s">
        <v>1568</v>
      </c>
      <c r="G411" s="295" t="s">
        <v>1565</v>
      </c>
      <c r="H411" s="295" t="s">
        <v>1873</v>
      </c>
      <c r="I411" s="297">
        <v>42676.649375000001</v>
      </c>
      <c r="J411" s="297">
        <v>42690</v>
      </c>
      <c r="K411" s="297">
        <v>44472</v>
      </c>
      <c r="L411" s="297">
        <v>42643</v>
      </c>
      <c r="M411" s="298" t="s">
        <v>2262</v>
      </c>
      <c r="N411" s="296" t="str">
        <f>"Guinee,Boke,Boffa,Lisso"</f>
        <v>Guinee,Boke,Boffa,Lisso</v>
      </c>
    </row>
    <row r="412" spans="2:14" ht="18.75" x14ac:dyDescent="0.15">
      <c r="B412" s="295" t="str">
        <f>"22694"</f>
        <v>22694</v>
      </c>
      <c r="C412" s="295" t="str">
        <f>"A2019/5785/MMG/SGG"</f>
        <v>A2019/5785/MMG/SGG</v>
      </c>
      <c r="D412" s="296" t="s">
        <v>2263</v>
      </c>
      <c r="E412" s="295" t="s">
        <v>154</v>
      </c>
      <c r="F412" s="295" t="s">
        <v>644</v>
      </c>
      <c r="G412" s="295" t="s">
        <v>1565</v>
      </c>
      <c r="H412" s="295" t="s">
        <v>1565</v>
      </c>
      <c r="I412" s="297">
        <v>43682.497928240744</v>
      </c>
      <c r="J412" s="297">
        <v>43741</v>
      </c>
      <c r="K412" s="297">
        <v>44836</v>
      </c>
      <c r="L412" s="297">
        <v>43615</v>
      </c>
      <c r="M412" s="298" t="s">
        <v>2264</v>
      </c>
      <c r="N412" s="296" t="str">
        <f>"Guinee,Kankan,Siguiri,Bankon, Doko"</f>
        <v>Guinee,Kankan,Siguiri,Bankon, Doko</v>
      </c>
    </row>
    <row r="413" spans="2:14" ht="18.75" x14ac:dyDescent="0.15">
      <c r="B413" s="295" t="str">
        <f>"22715"</f>
        <v>22715</v>
      </c>
      <c r="C413" s="295" t="str">
        <f>"A2019/5784/MMG"</f>
        <v>A2019/5784/MMG</v>
      </c>
      <c r="D413" s="296" t="s">
        <v>105</v>
      </c>
      <c r="E413" s="295" t="s">
        <v>154</v>
      </c>
      <c r="F413" s="295" t="s">
        <v>644</v>
      </c>
      <c r="G413" s="295" t="s">
        <v>1565</v>
      </c>
      <c r="H413" s="295" t="s">
        <v>1873</v>
      </c>
      <c r="I413" s="297">
        <v>43726.700497685182</v>
      </c>
      <c r="J413" s="297">
        <v>43741</v>
      </c>
      <c r="K413" s="297">
        <v>44836</v>
      </c>
      <c r="L413" s="297">
        <v>43696</v>
      </c>
      <c r="M413" s="298" t="s">
        <v>2265</v>
      </c>
      <c r="N413" s="296" t="str">
        <f>"Guinee,Kankan,Kouroussa,Kouroussa-centre, Sanguiana"</f>
        <v>Guinee,Kankan,Kouroussa,Kouroussa-centre, Sanguiana</v>
      </c>
    </row>
    <row r="414" spans="2:14" ht="18.75" x14ac:dyDescent="0.15">
      <c r="B414" s="295" t="str">
        <f>"22001"</f>
        <v>22001</v>
      </c>
      <c r="C414" s="295" t="str">
        <f>"A2019/5783/MMG"</f>
        <v>A2019/5783/MMG</v>
      </c>
      <c r="D414" s="296" t="s">
        <v>2266</v>
      </c>
      <c r="E414" s="295" t="s">
        <v>254</v>
      </c>
      <c r="F414" s="295" t="s">
        <v>1568</v>
      </c>
      <c r="G414" s="295" t="s">
        <v>1565</v>
      </c>
      <c r="H414" s="295" t="s">
        <v>1565</v>
      </c>
      <c r="I414" s="297">
        <v>42647.616851851853</v>
      </c>
      <c r="J414" s="297">
        <v>42668</v>
      </c>
      <c r="K414" s="297">
        <v>44472</v>
      </c>
      <c r="L414" s="297">
        <v>42656</v>
      </c>
      <c r="M414" s="298" t="s">
        <v>2267</v>
      </c>
      <c r="N414" s="296" t="str">
        <f>"Guinee,Kindia,Dubreka,Badi, Ouassou, Tanéné"</f>
        <v>Guinee,Kindia,Dubreka,Badi, Ouassou, Tanéné</v>
      </c>
    </row>
    <row r="415" spans="2:14" ht="27" x14ac:dyDescent="0.15">
      <c r="B415" s="295" t="str">
        <f>"21997"</f>
        <v>21997</v>
      </c>
      <c r="C415" s="295" t="str">
        <f>"A2019/5552/MMG"</f>
        <v>A2019/5552/MMG</v>
      </c>
      <c r="D415" s="296" t="s">
        <v>2268</v>
      </c>
      <c r="E415" s="295" t="s">
        <v>254</v>
      </c>
      <c r="F415" s="295" t="s">
        <v>1568</v>
      </c>
      <c r="G415" s="295" t="s">
        <v>1565</v>
      </c>
      <c r="H415" s="295" t="s">
        <v>1678</v>
      </c>
      <c r="I415" s="297">
        <v>42615.432303240741</v>
      </c>
      <c r="J415" s="297">
        <v>42618</v>
      </c>
      <c r="K415" s="297">
        <v>44449</v>
      </c>
      <c r="L415" s="297">
        <v>42615</v>
      </c>
      <c r="M415" s="298" t="s">
        <v>2269</v>
      </c>
      <c r="N415" s="296" t="str">
        <f>"Guinee,Labe,Koubia,Koubia-centre, Missira, Pilimini; Tougue,Konah, Tangali"</f>
        <v>Guinee,Labe,Koubia,Koubia-centre, Missira, Pilimini; Tougue,Konah, Tangali</v>
      </c>
    </row>
    <row r="416" spans="2:14" ht="18.75" x14ac:dyDescent="0.15">
      <c r="B416" s="295" t="str">
        <f>"22013"</f>
        <v>22013</v>
      </c>
      <c r="C416" s="295" t="str">
        <f>"A2019/5551/MMG/SGG"</f>
        <v>A2019/5551/MMG/SGG</v>
      </c>
      <c r="D416" s="296" t="s">
        <v>2270</v>
      </c>
      <c r="E416" s="295" t="s">
        <v>254</v>
      </c>
      <c r="F416" s="295" t="s">
        <v>1568</v>
      </c>
      <c r="G416" s="295" t="s">
        <v>1565</v>
      </c>
      <c r="H416" s="295" t="s">
        <v>1565</v>
      </c>
      <c r="I416" s="297">
        <v>42653.679907407408</v>
      </c>
      <c r="J416" s="297">
        <v>42668</v>
      </c>
      <c r="K416" s="297">
        <v>44449</v>
      </c>
      <c r="L416" s="297">
        <v>42669</v>
      </c>
      <c r="M416" s="298" t="s">
        <v>2271</v>
      </c>
      <c r="N416" s="296" t="str">
        <f>"Guinee,Boke,Boke,Dabiss, Sansalé"</f>
        <v>Guinee,Boke,Boke,Dabiss, Sansalé</v>
      </c>
    </row>
    <row r="417" spans="2:14" ht="18.75" x14ac:dyDescent="0.15">
      <c r="B417" s="295" t="str">
        <f>"22698"</f>
        <v>22698</v>
      </c>
      <c r="C417" s="295" t="str">
        <f>"A2019/5550/MMG/SGG"</f>
        <v>A2019/5550/MMG/SGG</v>
      </c>
      <c r="D417" s="296" t="s">
        <v>2272</v>
      </c>
      <c r="E417" s="295" t="s">
        <v>154</v>
      </c>
      <c r="F417" s="295" t="s">
        <v>644</v>
      </c>
      <c r="G417" s="295" t="s">
        <v>1565</v>
      </c>
      <c r="H417" s="295" t="s">
        <v>1565</v>
      </c>
      <c r="I417" s="297">
        <v>43691.485856481479</v>
      </c>
      <c r="J417" s="297">
        <v>43718</v>
      </c>
      <c r="K417" s="297">
        <v>44813</v>
      </c>
      <c r="L417" s="297">
        <v>43616</v>
      </c>
      <c r="M417" s="298" t="s">
        <v>2273</v>
      </c>
      <c r="N417" s="296" t="str">
        <f>"Guinee,Kankan,Siguiri,Naboun, Niagassola"</f>
        <v>Guinee,Kankan,Siguiri,Naboun, Niagassola</v>
      </c>
    </row>
    <row r="418" spans="2:14" ht="27" x14ac:dyDescent="0.15">
      <c r="B418" s="295" t="str">
        <f>"22704"</f>
        <v>22704</v>
      </c>
      <c r="C418" s="295" t="str">
        <f>"A2019/5549/MMG"</f>
        <v>A2019/5549/MMG</v>
      </c>
      <c r="D418" s="296" t="s">
        <v>2274</v>
      </c>
      <c r="E418" s="295" t="s">
        <v>154</v>
      </c>
      <c r="F418" s="295" t="s">
        <v>644</v>
      </c>
      <c r="G418" s="295" t="s">
        <v>1565</v>
      </c>
      <c r="H418" s="295" t="s">
        <v>1565</v>
      </c>
      <c r="I418" s="297">
        <v>43707.573622685188</v>
      </c>
      <c r="J418" s="297">
        <v>43718</v>
      </c>
      <c r="K418" s="297">
        <v>44813</v>
      </c>
      <c r="L418" s="297">
        <v>43693</v>
      </c>
      <c r="M418" s="298" t="s">
        <v>2275</v>
      </c>
      <c r="N418" s="296" t="str">
        <f>"Guinee,Kankan,Kouroussa,Doura, Sanguiana"</f>
        <v>Guinee,Kankan,Kouroussa,Doura, Sanguiana</v>
      </c>
    </row>
    <row r="419" spans="2:14" ht="27" x14ac:dyDescent="0.15">
      <c r="B419" s="295" t="str">
        <f>"22696"</f>
        <v>22696</v>
      </c>
      <c r="C419" s="295" t="str">
        <f>"A2019/5519/MMG"</f>
        <v>A2019/5519/MMG</v>
      </c>
      <c r="D419" s="296" t="s">
        <v>2276</v>
      </c>
      <c r="E419" s="295" t="s">
        <v>78</v>
      </c>
      <c r="F419" s="295" t="s">
        <v>1769</v>
      </c>
      <c r="G419" s="295" t="s">
        <v>1565</v>
      </c>
      <c r="H419" s="295" t="s">
        <v>1565</v>
      </c>
      <c r="I419" s="297">
        <v>43686.57167824074</v>
      </c>
      <c r="J419" s="297">
        <v>43714</v>
      </c>
      <c r="K419" s="297">
        <v>44444</v>
      </c>
      <c r="L419" s="297">
        <v>43587</v>
      </c>
      <c r="M419" s="298" t="s">
        <v>2277</v>
      </c>
      <c r="N419" s="296" t="str">
        <f>"Guinee,Kindia,Forecariah,Allassoyah"</f>
        <v>Guinee,Kindia,Forecariah,Allassoyah</v>
      </c>
    </row>
    <row r="420" spans="2:14" x14ac:dyDescent="0.15">
      <c r="B420" s="295" t="str">
        <f>"22703"</f>
        <v>22703</v>
      </c>
      <c r="C420" s="295" t="str">
        <f>"A2019/5518"</f>
        <v>A2019/5518</v>
      </c>
      <c r="D420" s="296" t="s">
        <v>2278</v>
      </c>
      <c r="E420" s="295" t="s">
        <v>78</v>
      </c>
      <c r="F420" s="295" t="s">
        <v>1781</v>
      </c>
      <c r="G420" s="295" t="s">
        <v>1565</v>
      </c>
      <c r="H420" s="295" t="s">
        <v>1565</v>
      </c>
      <c r="I420" s="297">
        <v>43705.40520833333</v>
      </c>
      <c r="J420" s="297">
        <v>43714</v>
      </c>
      <c r="K420" s="297">
        <v>44444</v>
      </c>
      <c r="L420" s="297">
        <v>43675</v>
      </c>
      <c r="M420" s="298" t="s">
        <v>2279</v>
      </c>
      <c r="N420" s="296" t="str">
        <f>"Guinee,Boke,Boke,Malapouyah"</f>
        <v>Guinee,Boke,Boke,Malapouyah</v>
      </c>
    </row>
    <row r="421" spans="2:14" x14ac:dyDescent="0.15">
      <c r="B421" s="295" t="str">
        <f>"22699"</f>
        <v>22699</v>
      </c>
      <c r="C421" s="295" t="str">
        <f>"A2019/5517/MMG"</f>
        <v>A2019/5517/MMG</v>
      </c>
      <c r="D421" s="296" t="s">
        <v>2132</v>
      </c>
      <c r="E421" s="295" t="s">
        <v>78</v>
      </c>
      <c r="F421" s="295" t="s">
        <v>1769</v>
      </c>
      <c r="G421" s="295" t="s">
        <v>1565</v>
      </c>
      <c r="H421" s="295" t="s">
        <v>1565</v>
      </c>
      <c r="I421" s="297">
        <v>43699.475439814814</v>
      </c>
      <c r="J421" s="297">
        <v>43714</v>
      </c>
      <c r="K421" s="297">
        <v>44444</v>
      </c>
      <c r="L421" s="297">
        <v>43671</v>
      </c>
      <c r="M421" s="298" t="s">
        <v>2280</v>
      </c>
      <c r="N421" s="296" t="str">
        <f>"Guinee,Kindia,Dubreka,Khorira"</f>
        <v>Guinee,Kindia,Dubreka,Khorira</v>
      </c>
    </row>
    <row r="422" spans="2:14" ht="18.75" x14ac:dyDescent="0.15">
      <c r="B422" s="295" t="str">
        <f>"22691"</f>
        <v>22691</v>
      </c>
      <c r="C422" s="295" t="str">
        <f>"A2019/5515/MMG"</f>
        <v>A2019/5515/MMG</v>
      </c>
      <c r="D422" s="296" t="s">
        <v>2281</v>
      </c>
      <c r="E422" s="295" t="s">
        <v>154</v>
      </c>
      <c r="F422" s="295" t="s">
        <v>644</v>
      </c>
      <c r="G422" s="295" t="s">
        <v>1565</v>
      </c>
      <c r="H422" s="295" t="s">
        <v>1873</v>
      </c>
      <c r="I422" s="297">
        <v>43671.684756944444</v>
      </c>
      <c r="J422" s="297">
        <v>43714</v>
      </c>
      <c r="K422" s="297">
        <v>44809</v>
      </c>
      <c r="L422" s="297">
        <v>43634</v>
      </c>
      <c r="M422" s="298" t="s">
        <v>2282</v>
      </c>
      <c r="N422" s="296" t="str">
        <f>"Guinee,Kankan,Siguiri,Niagassola"</f>
        <v>Guinee,Kankan,Siguiri,Niagassola</v>
      </c>
    </row>
    <row r="423" spans="2:14" ht="18.75" x14ac:dyDescent="0.15">
      <c r="B423" s="295" t="str">
        <f>"22692"</f>
        <v>22692</v>
      </c>
      <c r="C423" s="295" t="str">
        <f>"A2019/5514/MMG"</f>
        <v>A2019/5514/MMG</v>
      </c>
      <c r="D423" s="296" t="s">
        <v>2283</v>
      </c>
      <c r="E423" s="295" t="s">
        <v>154</v>
      </c>
      <c r="F423" s="295" t="s">
        <v>644</v>
      </c>
      <c r="G423" s="295" t="s">
        <v>1565</v>
      </c>
      <c r="H423" s="295" t="s">
        <v>1873</v>
      </c>
      <c r="I423" s="297">
        <v>43671.733726851853</v>
      </c>
      <c r="J423" s="297">
        <v>43714</v>
      </c>
      <c r="K423" s="297">
        <v>44809</v>
      </c>
      <c r="L423" s="297">
        <v>43634</v>
      </c>
      <c r="M423" s="298" t="s">
        <v>2000</v>
      </c>
      <c r="N423" s="296" t="str">
        <f>"Guinee,Kankan,Siguiri,Niagassola"</f>
        <v>Guinee,Kankan,Siguiri,Niagassola</v>
      </c>
    </row>
    <row r="424" spans="2:14" ht="27" x14ac:dyDescent="0.15">
      <c r="B424" s="295" t="str">
        <f>"22529"</f>
        <v>22529</v>
      </c>
      <c r="C424" s="295" t="str">
        <f>"A2019/5513/MMG"</f>
        <v>A2019/5513/MMG</v>
      </c>
      <c r="D424" s="296" t="s">
        <v>2284</v>
      </c>
      <c r="E424" s="295" t="s">
        <v>154</v>
      </c>
      <c r="F424" s="295" t="s">
        <v>644</v>
      </c>
      <c r="G424" s="295" t="s">
        <v>1565</v>
      </c>
      <c r="H424" s="295" t="s">
        <v>1565</v>
      </c>
      <c r="I424" s="297">
        <v>43441.524513888886</v>
      </c>
      <c r="J424" s="297">
        <v>43714</v>
      </c>
      <c r="K424" s="297">
        <v>44809</v>
      </c>
      <c r="L424" s="297">
        <v>43414</v>
      </c>
      <c r="M424" s="298" t="s">
        <v>2285</v>
      </c>
      <c r="N424" s="296" t="str">
        <f>"Guinee,Faranah,Dinguiraye,Banora, Dinguiraye-cent"</f>
        <v>Guinee,Faranah,Dinguiraye,Banora, Dinguiraye-cent</v>
      </c>
    </row>
    <row r="425" spans="2:14" ht="18.75" x14ac:dyDescent="0.15">
      <c r="B425" s="295" t="str">
        <f>"22697"</f>
        <v>22697</v>
      </c>
      <c r="C425" s="295" t="str">
        <f>"A2019/5512/MMG/SGG"</f>
        <v>A2019/5512/MMG/SGG</v>
      </c>
      <c r="D425" s="296" t="s">
        <v>2272</v>
      </c>
      <c r="E425" s="295" t="s">
        <v>154</v>
      </c>
      <c r="F425" s="295" t="s">
        <v>644</v>
      </c>
      <c r="G425" s="295" t="s">
        <v>1565</v>
      </c>
      <c r="H425" s="295" t="s">
        <v>1565</v>
      </c>
      <c r="I425" s="297">
        <v>43691.445787037039</v>
      </c>
      <c r="J425" s="297">
        <v>43714</v>
      </c>
      <c r="K425" s="297">
        <v>44809</v>
      </c>
      <c r="L425" s="297">
        <v>43616</v>
      </c>
      <c r="M425" s="298" t="s">
        <v>2286</v>
      </c>
      <c r="N425" s="296" t="str">
        <f>"Guinee,Kankan,Siguiri,Niagassola"</f>
        <v>Guinee,Kankan,Siguiri,Niagassola</v>
      </c>
    </row>
    <row r="426" spans="2:14" ht="18.75" x14ac:dyDescent="0.15">
      <c r="B426" s="295" t="str">
        <f>"22638"</f>
        <v>22638</v>
      </c>
      <c r="C426" s="295" t="str">
        <f>"A2019/5511/MMG"</f>
        <v>A2019/5511/MMG</v>
      </c>
      <c r="D426" s="296" t="s">
        <v>2287</v>
      </c>
      <c r="E426" s="295" t="s">
        <v>154</v>
      </c>
      <c r="F426" s="295" t="s">
        <v>644</v>
      </c>
      <c r="G426" s="295" t="s">
        <v>1565</v>
      </c>
      <c r="H426" s="295" t="s">
        <v>1565</v>
      </c>
      <c r="I426" s="297">
        <v>43608.612361111111</v>
      </c>
      <c r="J426" s="297">
        <v>43714</v>
      </c>
      <c r="K426" s="297">
        <v>44809</v>
      </c>
      <c r="L426" s="297">
        <v>43545</v>
      </c>
      <c r="M426" s="298" t="s">
        <v>2288</v>
      </c>
      <c r="N426" s="296" t="str">
        <f>"Guinee,Kankan,Siguiri,Niagassola"</f>
        <v>Guinee,Kankan,Siguiri,Niagassola</v>
      </c>
    </row>
    <row r="427" spans="2:14" ht="27" x14ac:dyDescent="0.15">
      <c r="B427" s="295" t="str">
        <f>"22700"</f>
        <v>22700</v>
      </c>
      <c r="C427" s="295" t="str">
        <f>"A2019/5510"</f>
        <v>A2019/5510</v>
      </c>
      <c r="D427" s="296" t="s">
        <v>2259</v>
      </c>
      <c r="E427" s="295" t="s">
        <v>254</v>
      </c>
      <c r="F427" s="295" t="s">
        <v>1568</v>
      </c>
      <c r="G427" s="295" t="s">
        <v>1565</v>
      </c>
      <c r="H427" s="295" t="s">
        <v>1565</v>
      </c>
      <c r="I427" s="297">
        <v>43699.595960648148</v>
      </c>
      <c r="J427" s="297">
        <v>43714</v>
      </c>
      <c r="K427" s="297">
        <v>44809</v>
      </c>
      <c r="L427" s="297">
        <v>43697</v>
      </c>
      <c r="M427" s="298" t="s">
        <v>2289</v>
      </c>
      <c r="N427" s="296" t="str">
        <f>"Guinee,Labe,Mali,Fougou, Gayah, Hidayatou, Lébékéren, Mali-centre"</f>
        <v>Guinee,Labe,Mali,Fougou, Gayah, Hidayatou, Lébékéren, Mali-centre</v>
      </c>
    </row>
    <row r="428" spans="2:14" x14ac:dyDescent="0.15">
      <c r="B428" s="295" t="str">
        <f>"22580"</f>
        <v>22580</v>
      </c>
      <c r="C428" s="295" t="str">
        <f>"A2019/5187/MMG"</f>
        <v>A2019/5187/MMG</v>
      </c>
      <c r="D428" s="296" t="s">
        <v>2290</v>
      </c>
      <c r="E428" s="295" t="s">
        <v>78</v>
      </c>
      <c r="F428" s="295" t="s">
        <v>1769</v>
      </c>
      <c r="G428" s="295" t="s">
        <v>1565</v>
      </c>
      <c r="H428" s="295" t="s">
        <v>1565</v>
      </c>
      <c r="I428" s="297">
        <v>43535.547280092593</v>
      </c>
      <c r="J428" s="297">
        <v>43685</v>
      </c>
      <c r="K428" s="297">
        <v>44415</v>
      </c>
      <c r="L428" s="297">
        <v>43465</v>
      </c>
      <c r="M428" s="298" t="s">
        <v>2291</v>
      </c>
      <c r="N428" s="296" t="str">
        <f>"Guinee,Kindia,Dubreka,Khorira"</f>
        <v>Guinee,Kindia,Dubreka,Khorira</v>
      </c>
    </row>
    <row r="429" spans="2:14" ht="27" x14ac:dyDescent="0.15">
      <c r="B429" s="295" t="str">
        <f>"22669"</f>
        <v>22669</v>
      </c>
      <c r="C429" s="295" t="str">
        <f>"A2019/5186/MMG"</f>
        <v>A2019/5186/MMG</v>
      </c>
      <c r="D429" s="296" t="s">
        <v>2292</v>
      </c>
      <c r="E429" s="295" t="s">
        <v>254</v>
      </c>
      <c r="F429" s="295" t="s">
        <v>1568</v>
      </c>
      <c r="G429" s="295" t="s">
        <v>1565</v>
      </c>
      <c r="H429" s="295" t="s">
        <v>1565</v>
      </c>
      <c r="I429" s="297">
        <v>43633.676701388889</v>
      </c>
      <c r="J429" s="297">
        <v>43685</v>
      </c>
      <c r="K429" s="297">
        <v>44780</v>
      </c>
      <c r="L429" s="297">
        <v>43612</v>
      </c>
      <c r="M429" s="298" t="s">
        <v>2293</v>
      </c>
      <c r="N429" s="296" t="str">
        <f>"Guinee,Labe,Koubia,Missira; Labe,Dionfo; Tougue,Fatako, Ko'n, Tangali, Tougué-centre; Mamou,Dalaba,Mombéyah"</f>
        <v>Guinee,Labe,Koubia,Missira; Labe,Dionfo; Tougue,Fatako, Ko'n, Tangali, Tougué-centre; Mamou,Dalaba,Mombéyah</v>
      </c>
    </row>
    <row r="430" spans="2:14" ht="27" x14ac:dyDescent="0.15">
      <c r="B430" s="295" t="str">
        <f>"22581"</f>
        <v>22581</v>
      </c>
      <c r="C430" s="295" t="str">
        <f>"A2019/5185/MMG"</f>
        <v>A2019/5185/MMG</v>
      </c>
      <c r="D430" s="296" t="s">
        <v>2294</v>
      </c>
      <c r="E430" s="295" t="s">
        <v>154</v>
      </c>
      <c r="F430" s="295" t="s">
        <v>644</v>
      </c>
      <c r="G430" s="295" t="s">
        <v>1565</v>
      </c>
      <c r="H430" s="295" t="s">
        <v>1565</v>
      </c>
      <c r="I430" s="297">
        <v>43535.634965277779</v>
      </c>
      <c r="J430" s="297">
        <v>43685</v>
      </c>
      <c r="K430" s="297">
        <v>44780</v>
      </c>
      <c r="L430" s="297">
        <v>43452</v>
      </c>
      <c r="M430" s="298" t="s">
        <v>2295</v>
      </c>
      <c r="N430" s="296" t="str">
        <f>"Guinee,Kankan,Siguiri,Kintinian, Niandankoro, Norassoba, Siguiri-centre"</f>
        <v>Guinee,Kankan,Siguiri,Kintinian, Niandankoro, Norassoba, Siguiri-centre</v>
      </c>
    </row>
    <row r="431" spans="2:14" ht="27" x14ac:dyDescent="0.15">
      <c r="B431" s="295" t="str">
        <f>"22625"</f>
        <v>22625</v>
      </c>
      <c r="C431" s="295" t="str">
        <f>"A2019/5184/MMG"</f>
        <v>A2019/5184/MMG</v>
      </c>
      <c r="D431" s="296" t="s">
        <v>2296</v>
      </c>
      <c r="E431" s="295" t="s">
        <v>1820</v>
      </c>
      <c r="F431" s="295" t="s">
        <v>640</v>
      </c>
      <c r="G431" s="295" t="s">
        <v>1565</v>
      </c>
      <c r="H431" s="295" t="s">
        <v>1678</v>
      </c>
      <c r="I431" s="297">
        <v>43600.430381944447</v>
      </c>
      <c r="J431" s="297">
        <v>43683</v>
      </c>
      <c r="K431" s="297">
        <v>44778</v>
      </c>
      <c r="L431" s="297">
        <v>43562</v>
      </c>
      <c r="M431" s="298" t="s">
        <v>2297</v>
      </c>
      <c r="N431" s="296" t="str">
        <f>"Guinee,N'Zerekore,Macenta,Kouankan"</f>
        <v>Guinee,N'Zerekore,Macenta,Kouankan</v>
      </c>
    </row>
    <row r="432" spans="2:14" ht="18.75" x14ac:dyDescent="0.15">
      <c r="B432" s="295" t="str">
        <f>"22687"</f>
        <v>22687</v>
      </c>
      <c r="C432" s="295" t="str">
        <f>"A2019/5183/MMG"</f>
        <v>A2019/5183/MMG</v>
      </c>
      <c r="D432" s="296" t="s">
        <v>2298</v>
      </c>
      <c r="E432" s="295" t="s">
        <v>154</v>
      </c>
      <c r="F432" s="295" t="s">
        <v>644</v>
      </c>
      <c r="G432" s="295" t="s">
        <v>1565</v>
      </c>
      <c r="H432" s="295" t="s">
        <v>1873</v>
      </c>
      <c r="I432" s="297">
        <v>43661.55878472222</v>
      </c>
      <c r="J432" s="297">
        <v>43685</v>
      </c>
      <c r="K432" s="297">
        <v>44780</v>
      </c>
      <c r="L432" s="297">
        <v>43563</v>
      </c>
      <c r="M432" s="298" t="s">
        <v>2299</v>
      </c>
      <c r="N432" s="296" t="str">
        <f>"Guinee,Kankan,Mandiana,Faralako, Saladou"</f>
        <v>Guinee,Kankan,Mandiana,Faralako, Saladou</v>
      </c>
    </row>
    <row r="433" spans="2:14" x14ac:dyDescent="0.15">
      <c r="B433" s="295" t="str">
        <f>"22682"</f>
        <v>22682</v>
      </c>
      <c r="C433" s="295" t="str">
        <f>"A2019/4625/MMG"</f>
        <v>A2019/4625/MMG</v>
      </c>
      <c r="D433" s="296" t="s">
        <v>2185</v>
      </c>
      <c r="E433" s="295" t="s">
        <v>78</v>
      </c>
      <c r="F433" s="295" t="s">
        <v>1769</v>
      </c>
      <c r="G433" s="295" t="s">
        <v>1565</v>
      </c>
      <c r="H433" s="295" t="s">
        <v>1565</v>
      </c>
      <c r="I433" s="297">
        <v>43649.494270833333</v>
      </c>
      <c r="J433" s="297">
        <v>43662</v>
      </c>
      <c r="K433" s="297">
        <v>44392</v>
      </c>
      <c r="L433" s="297">
        <v>43647</v>
      </c>
      <c r="M433" s="298" t="s">
        <v>2300</v>
      </c>
      <c r="N433" s="296" t="str">
        <f>"Guinee,Kankan,Kankan,Tinti-Oulen"</f>
        <v>Guinee,Kankan,Kankan,Tinti-Oulen</v>
      </c>
    </row>
    <row r="434" spans="2:14" x14ac:dyDescent="0.15">
      <c r="B434" s="295" t="str">
        <f>"22683"</f>
        <v>22683</v>
      </c>
      <c r="C434" s="295" t="str">
        <f>"A2019/4624/MMG"</f>
        <v>A2019/4624/MMG</v>
      </c>
      <c r="D434" s="296" t="s">
        <v>2185</v>
      </c>
      <c r="E434" s="295" t="s">
        <v>1754</v>
      </c>
      <c r="F434" s="295" t="s">
        <v>1769</v>
      </c>
      <c r="G434" s="295" t="s">
        <v>1565</v>
      </c>
      <c r="H434" s="295" t="s">
        <v>1565</v>
      </c>
      <c r="I434" s="297">
        <v>43649.52003472222</v>
      </c>
      <c r="J434" s="297">
        <v>43662</v>
      </c>
      <c r="K434" s="297">
        <v>43845</v>
      </c>
      <c r="L434" s="297">
        <v>43647</v>
      </c>
      <c r="M434" s="298" t="s">
        <v>2301</v>
      </c>
      <c r="N434" s="296" t="str">
        <f>"Guinee,Kankan,Kankan,Tinti-Oulen"</f>
        <v>Guinee,Kankan,Kankan,Tinti-Oulen</v>
      </c>
    </row>
    <row r="435" spans="2:14" x14ac:dyDescent="0.15">
      <c r="B435" s="295" t="str">
        <f>"22684"</f>
        <v>22684</v>
      </c>
      <c r="C435" s="295" t="str">
        <f>"A2019/4623/MMG"</f>
        <v>A2019/4623/MMG</v>
      </c>
      <c r="D435" s="296" t="s">
        <v>2185</v>
      </c>
      <c r="E435" s="295" t="s">
        <v>78</v>
      </c>
      <c r="F435" s="295" t="s">
        <v>1769</v>
      </c>
      <c r="G435" s="295" t="s">
        <v>1565</v>
      </c>
      <c r="H435" s="295" t="s">
        <v>1565</v>
      </c>
      <c r="I435" s="297">
        <v>43649.528391203705</v>
      </c>
      <c r="J435" s="297">
        <v>43662</v>
      </c>
      <c r="K435" s="297">
        <v>44392</v>
      </c>
      <c r="L435" s="297">
        <v>43647</v>
      </c>
      <c r="M435" s="298" t="s">
        <v>2302</v>
      </c>
      <c r="N435" s="296" t="str">
        <f>"Guinee,Kankan,Kankan,Tinti-Oulen"</f>
        <v>Guinee,Kankan,Kankan,Tinti-Oulen</v>
      </c>
    </row>
    <row r="436" spans="2:14" x14ac:dyDescent="0.15">
      <c r="B436" s="295" t="str">
        <f>"22685"</f>
        <v>22685</v>
      </c>
      <c r="C436" s="295" t="str">
        <f>"A2019/4623/MMG"</f>
        <v>A2019/4623/MMG</v>
      </c>
      <c r="D436" s="296" t="s">
        <v>2185</v>
      </c>
      <c r="E436" s="295" t="s">
        <v>78</v>
      </c>
      <c r="F436" s="295" t="s">
        <v>1769</v>
      </c>
      <c r="G436" s="295" t="s">
        <v>1565</v>
      </c>
      <c r="H436" s="295" t="s">
        <v>1565</v>
      </c>
      <c r="I436" s="297">
        <v>43649.536840277775</v>
      </c>
      <c r="J436" s="297">
        <v>43662</v>
      </c>
      <c r="K436" s="297">
        <v>44392</v>
      </c>
      <c r="L436" s="297">
        <v>43647</v>
      </c>
      <c r="M436" s="298" t="s">
        <v>2303</v>
      </c>
      <c r="N436" s="296" t="str">
        <f>"Guinee,Kankan,Kankan,Tinti-Oulen"</f>
        <v>Guinee,Kankan,Kankan,Tinti-Oulen</v>
      </c>
    </row>
    <row r="437" spans="2:14" x14ac:dyDescent="0.15">
      <c r="B437" s="295" t="str">
        <f>"22678"</f>
        <v>22678</v>
      </c>
      <c r="C437" s="295" t="str">
        <f>"A2019/4620/MMG"</f>
        <v>A2019/4620/MMG</v>
      </c>
      <c r="D437" s="296" t="s">
        <v>2304</v>
      </c>
      <c r="E437" s="295" t="s">
        <v>78</v>
      </c>
      <c r="F437" s="295" t="s">
        <v>1781</v>
      </c>
      <c r="G437" s="295" t="s">
        <v>1565</v>
      </c>
      <c r="H437" s="295" t="s">
        <v>1565</v>
      </c>
      <c r="I437" s="297">
        <v>43644.646249999998</v>
      </c>
      <c r="J437" s="297">
        <v>43662</v>
      </c>
      <c r="K437" s="297">
        <v>44392</v>
      </c>
      <c r="L437" s="297">
        <v>43559</v>
      </c>
      <c r="M437" s="298" t="s">
        <v>2305</v>
      </c>
      <c r="N437" s="296" t="str">
        <f>"Guinee,Kankan,Kouroussa,Cissela"</f>
        <v>Guinee,Kankan,Kouroussa,Cissela</v>
      </c>
    </row>
    <row r="438" spans="2:14" ht="27" x14ac:dyDescent="0.15">
      <c r="B438" s="295" t="str">
        <f>"22674"</f>
        <v>22674</v>
      </c>
      <c r="C438" s="295" t="str">
        <f>"A2019/4619/MMG/SGG"</f>
        <v>A2019/4619/MMG/SGG</v>
      </c>
      <c r="D438" s="296" t="s">
        <v>2306</v>
      </c>
      <c r="E438" s="295" t="s">
        <v>154</v>
      </c>
      <c r="F438" s="295" t="s">
        <v>644</v>
      </c>
      <c r="G438" s="295" t="s">
        <v>1565</v>
      </c>
      <c r="H438" s="295" t="s">
        <v>1565</v>
      </c>
      <c r="I438" s="297">
        <v>43640.48978009259</v>
      </c>
      <c r="J438" s="297">
        <v>43662</v>
      </c>
      <c r="K438" s="297">
        <v>44757</v>
      </c>
      <c r="L438" s="297">
        <v>43619</v>
      </c>
      <c r="M438" s="298" t="s">
        <v>2307</v>
      </c>
      <c r="N438" s="296" t="str">
        <f>"Guinee,Kankan,Mandiana,Morodou, Niantanina"</f>
        <v>Guinee,Kankan,Mandiana,Morodou, Niantanina</v>
      </c>
    </row>
    <row r="439" spans="2:14" ht="27" x14ac:dyDescent="0.15">
      <c r="B439" s="295" t="str">
        <f>"22681"</f>
        <v>22681</v>
      </c>
      <c r="C439" s="295" t="str">
        <f>"A2019/4618/MMG"</f>
        <v>A2019/4618/MMG</v>
      </c>
      <c r="D439" s="296" t="s">
        <v>2308</v>
      </c>
      <c r="E439" s="295" t="s">
        <v>154</v>
      </c>
      <c r="F439" s="295" t="s">
        <v>644</v>
      </c>
      <c r="G439" s="295" t="s">
        <v>1565</v>
      </c>
      <c r="H439" s="295" t="s">
        <v>1678</v>
      </c>
      <c r="I439" s="297">
        <v>43649.391631944447</v>
      </c>
      <c r="J439" s="297">
        <v>43662</v>
      </c>
      <c r="K439" s="297">
        <v>44757</v>
      </c>
      <c r="L439" s="297">
        <v>43634</v>
      </c>
      <c r="M439" s="298" t="s">
        <v>2309</v>
      </c>
      <c r="N439" s="296" t="str">
        <f>"Guinee,Kankan,Kouroussa,Kiniéro, Kouroussa-centre"</f>
        <v>Guinee,Kankan,Kouroussa,Kiniéro, Kouroussa-centre</v>
      </c>
    </row>
    <row r="440" spans="2:14" ht="27" x14ac:dyDescent="0.15">
      <c r="B440" s="295" t="str">
        <f>"22633"</f>
        <v>22633</v>
      </c>
      <c r="C440" s="295" t="str">
        <f>"A2019/4613/MMG"</f>
        <v>A2019/4613/MMG</v>
      </c>
      <c r="D440" s="296" t="s">
        <v>2310</v>
      </c>
      <c r="E440" s="295" t="s">
        <v>1813</v>
      </c>
      <c r="F440" s="295" t="s">
        <v>1814</v>
      </c>
      <c r="G440" s="295" t="s">
        <v>1565</v>
      </c>
      <c r="H440" s="295" t="s">
        <v>1565</v>
      </c>
      <c r="I440" s="297">
        <v>43602.434560185182</v>
      </c>
      <c r="J440" s="297">
        <v>43662</v>
      </c>
      <c r="K440" s="297">
        <v>44757</v>
      </c>
      <c r="L440" s="297">
        <v>43565</v>
      </c>
      <c r="M440" s="298" t="s">
        <v>2311</v>
      </c>
      <c r="N440" s="296" t="str">
        <f>"Guinee,Labe,Mali,Lébékéren"</f>
        <v>Guinee,Labe,Mali,Lébékéren</v>
      </c>
    </row>
    <row r="441" spans="2:14" ht="27" x14ac:dyDescent="0.15">
      <c r="B441" s="295" t="str">
        <f>"22598"</f>
        <v>22598</v>
      </c>
      <c r="C441" s="295" t="str">
        <f>"A2019/4263/MMG/SGG"</f>
        <v>A2019/4263/MMG/SGG</v>
      </c>
      <c r="D441" s="296" t="s">
        <v>2312</v>
      </c>
      <c r="E441" s="295" t="s">
        <v>154</v>
      </c>
      <c r="F441" s="295" t="s">
        <v>644</v>
      </c>
      <c r="G441" s="295" t="s">
        <v>1565</v>
      </c>
      <c r="H441" s="295" t="s">
        <v>1873</v>
      </c>
      <c r="I441" s="297">
        <v>43559.691759259258</v>
      </c>
      <c r="J441" s="297">
        <v>43643</v>
      </c>
      <c r="K441" s="297">
        <v>44738</v>
      </c>
      <c r="L441" s="297">
        <v>43546</v>
      </c>
      <c r="M441" s="298" t="s">
        <v>2313</v>
      </c>
      <c r="N441" s="296" t="str">
        <f>"Guinee,Kankan,Siguiri,Doko, Kintinian"</f>
        <v>Guinee,Kankan,Siguiri,Doko, Kintinian</v>
      </c>
    </row>
    <row r="442" spans="2:14" ht="27" x14ac:dyDescent="0.15">
      <c r="B442" s="295" t="str">
        <f>"22664"</f>
        <v>22664</v>
      </c>
      <c r="C442" s="295" t="str">
        <f>"A2019/4262/MMG"</f>
        <v>A2019/4262/MMG</v>
      </c>
      <c r="D442" s="296" t="s">
        <v>1650</v>
      </c>
      <c r="E442" s="295" t="s">
        <v>78</v>
      </c>
      <c r="F442" s="295" t="s">
        <v>1781</v>
      </c>
      <c r="G442" s="295" t="s">
        <v>1565</v>
      </c>
      <c r="H442" s="295" t="s">
        <v>1565</v>
      </c>
      <c r="I442" s="297">
        <v>43629.647546296299</v>
      </c>
      <c r="J442" s="297">
        <v>43643</v>
      </c>
      <c r="K442" s="297">
        <v>44373</v>
      </c>
      <c r="L442" s="297">
        <v>43536</v>
      </c>
      <c r="M442" s="298" t="s">
        <v>2314</v>
      </c>
      <c r="N442" s="296" t="str">
        <f>"Guinee,Boke,Boffa,Douprou"</f>
        <v>Guinee,Boke,Boffa,Douprou</v>
      </c>
    </row>
    <row r="443" spans="2:14" ht="27" x14ac:dyDescent="0.15">
      <c r="B443" s="295" t="str">
        <f>"22663"</f>
        <v>22663</v>
      </c>
      <c r="C443" s="295" t="str">
        <f>"A2019/4261/MMG"</f>
        <v>A2019/4261/MMG</v>
      </c>
      <c r="D443" s="296" t="s">
        <v>1602</v>
      </c>
      <c r="E443" s="295" t="s">
        <v>154</v>
      </c>
      <c r="F443" s="295" t="s">
        <v>644</v>
      </c>
      <c r="G443" s="295" t="s">
        <v>1565</v>
      </c>
      <c r="H443" s="295" t="s">
        <v>1678</v>
      </c>
      <c r="I443" s="297">
        <v>43628.48978009259</v>
      </c>
      <c r="J443" s="297">
        <v>43643</v>
      </c>
      <c r="K443" s="297">
        <v>44767</v>
      </c>
      <c r="L443" s="297">
        <v>43612</v>
      </c>
      <c r="M443" s="298" t="s">
        <v>2315</v>
      </c>
      <c r="N443" s="296" t="str">
        <f>"Guinee,Mamou,Mamou,Kégnéko, Ouré-Kaba"</f>
        <v>Guinee,Mamou,Mamou,Kégnéko, Ouré-Kaba</v>
      </c>
    </row>
    <row r="444" spans="2:14" ht="18.75" x14ac:dyDescent="0.15">
      <c r="B444" s="295" t="str">
        <f>"22673"</f>
        <v>22673</v>
      </c>
      <c r="C444" s="295" t="str">
        <f>"A2019/4259/MMG"</f>
        <v>A2019/4259/MMG</v>
      </c>
      <c r="D444" s="296" t="s">
        <v>2316</v>
      </c>
      <c r="E444" s="295" t="s">
        <v>1794</v>
      </c>
      <c r="F444" s="295" t="s">
        <v>1594</v>
      </c>
      <c r="G444" s="295" t="s">
        <v>1565</v>
      </c>
      <c r="H444" s="295" t="s">
        <v>1873</v>
      </c>
      <c r="I444" s="297">
        <v>43636.597303240742</v>
      </c>
      <c r="J444" s="297">
        <v>43643</v>
      </c>
      <c r="K444" s="297">
        <v>44738</v>
      </c>
      <c r="L444" s="297">
        <v>43615</v>
      </c>
      <c r="M444" s="298" t="s">
        <v>2317</v>
      </c>
      <c r="N444" s="296" t="str">
        <f>"Guinee,N'Zerekore,Lola,Bossou, Gama-Béréma, Lola-centre, N'Zoo"</f>
        <v>Guinee,N'Zerekore,Lola,Bossou, Gama-Béréma, Lola-centre, N'Zoo</v>
      </c>
    </row>
    <row r="445" spans="2:14" ht="40.5" x14ac:dyDescent="0.15">
      <c r="B445" s="295" t="str">
        <f>"22626"</f>
        <v>22626</v>
      </c>
      <c r="C445" s="295" t="str">
        <f>"A2019/4256/MMG/SGG"</f>
        <v>A2019/4256/MMG/SGG</v>
      </c>
      <c r="D445" s="296" t="s">
        <v>2318</v>
      </c>
      <c r="E445" s="295" t="s">
        <v>1820</v>
      </c>
      <c r="F445" s="295" t="s">
        <v>640</v>
      </c>
      <c r="G445" s="295" t="s">
        <v>1565</v>
      </c>
      <c r="H445" s="295" t="s">
        <v>1565</v>
      </c>
      <c r="I445" s="297">
        <v>43600.573275462964</v>
      </c>
      <c r="J445" s="297">
        <v>43638</v>
      </c>
      <c r="K445" s="297">
        <v>44733</v>
      </c>
      <c r="L445" s="297">
        <v>43521</v>
      </c>
      <c r="M445" s="298" t="s">
        <v>2319</v>
      </c>
      <c r="N445" s="296" t="str">
        <f>"Guinee,Faranah,Kissidougo,Banama, Firawa, Manfran; Kankan,Kerouane,Soromaya"</f>
        <v>Guinee,Faranah,Kissidougo,Banama, Firawa, Manfran; Kankan,Kerouane,Soromaya</v>
      </c>
    </row>
    <row r="446" spans="2:14" ht="27" x14ac:dyDescent="0.15">
      <c r="B446" s="295" t="str">
        <f>"22642"</f>
        <v>22642</v>
      </c>
      <c r="C446" s="295" t="str">
        <f>"A2019/4241/MMG"</f>
        <v>A2019/4241/MMG</v>
      </c>
      <c r="D446" s="296" t="s">
        <v>2320</v>
      </c>
      <c r="E446" s="295" t="s">
        <v>78</v>
      </c>
      <c r="F446" s="295" t="s">
        <v>1769</v>
      </c>
      <c r="G446" s="295" t="s">
        <v>1565</v>
      </c>
      <c r="H446" s="295" t="s">
        <v>1678</v>
      </c>
      <c r="I446" s="297">
        <v>43616.700312499997</v>
      </c>
      <c r="J446" s="297">
        <v>43643</v>
      </c>
      <c r="K446" s="297">
        <v>44373</v>
      </c>
      <c r="L446" s="297">
        <v>43529</v>
      </c>
      <c r="M446" s="298" t="s">
        <v>2321</v>
      </c>
      <c r="N446" s="296" t="str">
        <f>"Guinee,Kindia,Dubreka,Khorira"</f>
        <v>Guinee,Kindia,Dubreka,Khorira</v>
      </c>
    </row>
    <row r="447" spans="2:14" ht="18.75" x14ac:dyDescent="0.15">
      <c r="B447" s="295" t="str">
        <f>"22644"</f>
        <v>22644</v>
      </c>
      <c r="C447" s="295" t="str">
        <f>"A2019/4239/MMG"</f>
        <v>A2019/4239/MMG</v>
      </c>
      <c r="D447" s="296" t="s">
        <v>2322</v>
      </c>
      <c r="E447" s="295" t="s">
        <v>154</v>
      </c>
      <c r="F447" s="295" t="s">
        <v>644</v>
      </c>
      <c r="G447" s="295" t="s">
        <v>1565</v>
      </c>
      <c r="H447" s="295" t="s">
        <v>1873</v>
      </c>
      <c r="I447" s="297">
        <v>43619.632592592592</v>
      </c>
      <c r="J447" s="297">
        <v>43643</v>
      </c>
      <c r="K447" s="297">
        <v>44738</v>
      </c>
      <c r="L447" s="297">
        <v>43552</v>
      </c>
      <c r="M447" s="298" t="s">
        <v>2323</v>
      </c>
      <c r="N447" s="296" t="str">
        <f>"Guinee,Kankan,Siguiri,Niagassola"</f>
        <v>Guinee,Kankan,Siguiri,Niagassola</v>
      </c>
    </row>
    <row r="448" spans="2:14" ht="18.75" x14ac:dyDescent="0.15">
      <c r="B448" s="295" t="str">
        <f>"19324"</f>
        <v>19324</v>
      </c>
      <c r="C448" s="295" t="str">
        <f>"A2019/4237/MMG/SGG"</f>
        <v>A2019/4237/MMG/SGG</v>
      </c>
      <c r="D448" s="296" t="s">
        <v>2322</v>
      </c>
      <c r="E448" s="295" t="s">
        <v>154</v>
      </c>
      <c r="F448" s="295" t="s">
        <v>644</v>
      </c>
      <c r="G448" s="295" t="s">
        <v>1565</v>
      </c>
      <c r="H448" s="295" t="s">
        <v>1565</v>
      </c>
      <c r="I448" s="297">
        <v>42647.642997685187</v>
      </c>
      <c r="J448" s="297">
        <v>41597</v>
      </c>
      <c r="K448" s="297">
        <v>44574</v>
      </c>
      <c r="L448" s="297">
        <v>41554</v>
      </c>
      <c r="M448" s="298" t="s">
        <v>2324</v>
      </c>
      <c r="N448" s="296" t="str">
        <f>"Guinee,Kankan,Siguiri,Niagassola"</f>
        <v>Guinee,Kankan,Siguiri,Niagassola</v>
      </c>
    </row>
    <row r="449" spans="2:14" ht="27" x14ac:dyDescent="0.15">
      <c r="B449" s="295" t="str">
        <f>"22640"</f>
        <v>22640</v>
      </c>
      <c r="C449" s="295" t="str">
        <f>"A2019/4201/MMG/SGG"</f>
        <v>A2019/4201/MMG/SGG</v>
      </c>
      <c r="D449" s="296" t="s">
        <v>2164</v>
      </c>
      <c r="E449" s="295" t="s">
        <v>254</v>
      </c>
      <c r="F449" s="295" t="s">
        <v>1568</v>
      </c>
      <c r="G449" s="295" t="s">
        <v>1565</v>
      </c>
      <c r="H449" s="295" t="s">
        <v>1678</v>
      </c>
      <c r="I449" s="297">
        <v>43616.553749999999</v>
      </c>
      <c r="J449" s="297">
        <v>43642</v>
      </c>
      <c r="K449" s="297">
        <v>44737</v>
      </c>
      <c r="L449" s="297">
        <v>43599</v>
      </c>
      <c r="M449" s="298" t="s">
        <v>2325</v>
      </c>
      <c r="N449" s="296" t="str">
        <f>"Guinee,Kindia,Telimele,Bourouwal, Gougoudjé, Sarékali, Sinta, Tarihoye, Télimélé, Thionthian"</f>
        <v>Guinee,Kindia,Telimele,Bourouwal, Gougoudjé, Sarékali, Sinta, Tarihoye, Télimélé, Thionthian</v>
      </c>
    </row>
    <row r="450" spans="2:14" ht="18.75" x14ac:dyDescent="0.15">
      <c r="B450" s="295" t="str">
        <f>"22645"</f>
        <v>22645</v>
      </c>
      <c r="C450" s="295" t="str">
        <f>"A2019/4199/MMG"</f>
        <v>A2019/4199/MMG</v>
      </c>
      <c r="D450" s="296" t="s">
        <v>2326</v>
      </c>
      <c r="E450" s="295" t="s">
        <v>254</v>
      </c>
      <c r="F450" s="295" t="s">
        <v>1568</v>
      </c>
      <c r="G450" s="295" t="s">
        <v>1565</v>
      </c>
      <c r="H450" s="295" t="s">
        <v>1565</v>
      </c>
      <c r="I450" s="297">
        <v>43621.57675925926</v>
      </c>
      <c r="J450" s="297">
        <v>43642</v>
      </c>
      <c r="K450" s="297">
        <v>44737</v>
      </c>
      <c r="L450" s="297">
        <v>43616</v>
      </c>
      <c r="M450" s="298" t="s">
        <v>2327</v>
      </c>
      <c r="N450" s="296" t="str">
        <f>"Guinee,Boke,Gaoual,Wendou M'bour"</f>
        <v>Guinee,Boke,Gaoual,Wendou M'bour</v>
      </c>
    </row>
    <row r="451" spans="2:14" ht="27" x14ac:dyDescent="0.15">
      <c r="B451" s="295" t="str">
        <f>"22623"</f>
        <v>22623</v>
      </c>
      <c r="C451" s="295" t="str">
        <f>"A2019/3945/MMG"</f>
        <v>A2019/3945/MMG</v>
      </c>
      <c r="D451" s="296" t="s">
        <v>2328</v>
      </c>
      <c r="E451" s="295" t="s">
        <v>254</v>
      </c>
      <c r="F451" s="295" t="s">
        <v>1568</v>
      </c>
      <c r="G451" s="295" t="s">
        <v>1565</v>
      </c>
      <c r="H451" s="295" t="s">
        <v>1565</v>
      </c>
      <c r="I451" s="297">
        <v>43594.564618055556</v>
      </c>
      <c r="J451" s="297">
        <v>43623</v>
      </c>
      <c r="K451" s="297">
        <v>44718</v>
      </c>
      <c r="L451" s="297">
        <v>43517</v>
      </c>
      <c r="M451" s="298" t="s">
        <v>2329</v>
      </c>
      <c r="N451" s="296" t="str">
        <f>"Guinee,Boke,Gaoual,Kakony; Kindia,Telimele,Bourouwal, Koba, Santou, Sarékali, Tarihoye"</f>
        <v>Guinee,Boke,Gaoual,Kakony; Kindia,Telimele,Bourouwal, Koba, Santou, Sarékali, Tarihoye</v>
      </c>
    </row>
    <row r="452" spans="2:14" x14ac:dyDescent="0.15">
      <c r="B452" s="295" t="str">
        <f>"22639"</f>
        <v>22639</v>
      </c>
      <c r="C452" s="295" t="str">
        <f>"A2019/3943/MMG/SGG"</f>
        <v>A2019/3943/MMG/SGG</v>
      </c>
      <c r="D452" s="296" t="s">
        <v>2330</v>
      </c>
      <c r="E452" s="295" t="s">
        <v>78</v>
      </c>
      <c r="F452" s="295" t="s">
        <v>1769</v>
      </c>
      <c r="G452" s="295" t="s">
        <v>1565</v>
      </c>
      <c r="H452" s="295" t="s">
        <v>1565</v>
      </c>
      <c r="I452" s="297">
        <v>43609.44976851852</v>
      </c>
      <c r="J452" s="297">
        <v>43623</v>
      </c>
      <c r="K452" s="297">
        <v>44353</v>
      </c>
      <c r="L452" s="297">
        <v>43544</v>
      </c>
      <c r="M452" s="298" t="s">
        <v>2331</v>
      </c>
      <c r="N452" s="296" t="str">
        <f>"Guinee,Kindia,Dubreka,Khorira"</f>
        <v>Guinee,Kindia,Dubreka,Khorira</v>
      </c>
    </row>
    <row r="453" spans="2:14" ht="27" x14ac:dyDescent="0.15">
      <c r="B453" s="295" t="str">
        <f>"22629"</f>
        <v>22629</v>
      </c>
      <c r="C453" s="295" t="str">
        <f>"A2019/3941/MMG"</f>
        <v>A2019/3941/MMG</v>
      </c>
      <c r="D453" s="296" t="s">
        <v>2332</v>
      </c>
      <c r="E453" s="295" t="s">
        <v>154</v>
      </c>
      <c r="F453" s="295" t="s">
        <v>644</v>
      </c>
      <c r="G453" s="295" t="s">
        <v>1565</v>
      </c>
      <c r="H453" s="295" t="s">
        <v>1873</v>
      </c>
      <c r="I453" s="297">
        <v>43601.42560185185</v>
      </c>
      <c r="J453" s="297">
        <v>43623</v>
      </c>
      <c r="K453" s="297">
        <v>44718</v>
      </c>
      <c r="L453" s="297">
        <v>43445</v>
      </c>
      <c r="M453" s="298" t="s">
        <v>2333</v>
      </c>
      <c r="N453" s="296" t="str">
        <f>"Guinee,Kankan,Siguiri,Kintinian"</f>
        <v>Guinee,Kankan,Siguiri,Kintinian</v>
      </c>
    </row>
    <row r="454" spans="2:14" ht="27" x14ac:dyDescent="0.15">
      <c r="B454" s="295" t="str">
        <f>"22630"</f>
        <v>22630</v>
      </c>
      <c r="C454" s="295" t="str">
        <f>"A2019/3940/MMG/SGG"</f>
        <v>A2019/3940/MMG/SGG</v>
      </c>
      <c r="D454" s="296" t="s">
        <v>2332</v>
      </c>
      <c r="E454" s="295" t="s">
        <v>154</v>
      </c>
      <c r="F454" s="295" t="s">
        <v>644</v>
      </c>
      <c r="G454" s="295" t="s">
        <v>1565</v>
      </c>
      <c r="H454" s="295" t="s">
        <v>1873</v>
      </c>
      <c r="I454" s="297">
        <v>43601.433067129627</v>
      </c>
      <c r="J454" s="297">
        <v>43623</v>
      </c>
      <c r="K454" s="297">
        <v>44718</v>
      </c>
      <c r="L454" s="297">
        <v>43455</v>
      </c>
      <c r="M454" s="298" t="s">
        <v>2334</v>
      </c>
      <c r="N454" s="296" t="str">
        <f>"Guinee,Kankan,Siguiri,Maléa"</f>
        <v>Guinee,Kankan,Siguiri,Maléa</v>
      </c>
    </row>
    <row r="455" spans="2:14" ht="18.75" x14ac:dyDescent="0.15">
      <c r="B455" s="295" t="str">
        <f>"22627"</f>
        <v>22627</v>
      </c>
      <c r="C455" s="295" t="str">
        <f>"A2019/3892/MMG"</f>
        <v>A2019/3892/MMG</v>
      </c>
      <c r="D455" s="296" t="s">
        <v>2335</v>
      </c>
      <c r="E455" s="295" t="s">
        <v>154</v>
      </c>
      <c r="F455" s="295" t="s">
        <v>644</v>
      </c>
      <c r="G455" s="295" t="s">
        <v>1565</v>
      </c>
      <c r="H455" s="295" t="s">
        <v>1873</v>
      </c>
      <c r="I455" s="297">
        <v>43600.655671296299</v>
      </c>
      <c r="J455" s="297">
        <v>43615</v>
      </c>
      <c r="K455" s="297">
        <v>44710</v>
      </c>
      <c r="L455" s="297">
        <v>43556</v>
      </c>
      <c r="M455" s="298" t="s">
        <v>2336</v>
      </c>
      <c r="N455" s="296" t="str">
        <f>"Guinee,Kankan,Kankan,Balandougou; Mandiana,Mandiana-centre"</f>
        <v>Guinee,Kankan,Kankan,Balandougou; Mandiana,Mandiana-centre</v>
      </c>
    </row>
    <row r="456" spans="2:14" ht="18.75" x14ac:dyDescent="0.15">
      <c r="B456" s="295" t="str">
        <f>"22631"</f>
        <v>22631</v>
      </c>
      <c r="C456" s="295" t="str">
        <f>"A2019/3891/MMG"</f>
        <v>A2019/3891/MMG</v>
      </c>
      <c r="D456" s="296" t="s">
        <v>2337</v>
      </c>
      <c r="E456" s="295" t="s">
        <v>154</v>
      </c>
      <c r="F456" s="295" t="s">
        <v>644</v>
      </c>
      <c r="G456" s="295" t="s">
        <v>1565</v>
      </c>
      <c r="H456" s="295" t="s">
        <v>1873</v>
      </c>
      <c r="I456" s="297">
        <v>43601.465416666666</v>
      </c>
      <c r="J456" s="297">
        <v>43585</v>
      </c>
      <c r="K456" s="297">
        <v>44680</v>
      </c>
      <c r="L456" s="297">
        <v>43565</v>
      </c>
      <c r="M456" s="298" t="s">
        <v>2338</v>
      </c>
      <c r="N456" s="296" t="str">
        <f>"Guinee,Kankan,Siguiri,Bankon, Doko"</f>
        <v>Guinee,Kankan,Siguiri,Bankon, Doko</v>
      </c>
    </row>
    <row r="457" spans="2:14" ht="27" x14ac:dyDescent="0.15">
      <c r="B457" s="295" t="str">
        <f>"22632"</f>
        <v>22632</v>
      </c>
      <c r="C457" s="295" t="str">
        <f>"A2019/3890/MMG"</f>
        <v>A2019/3890/MMG</v>
      </c>
      <c r="D457" s="296" t="s">
        <v>2310</v>
      </c>
      <c r="E457" s="295" t="s">
        <v>154</v>
      </c>
      <c r="F457" s="295" t="s">
        <v>644</v>
      </c>
      <c r="G457" s="295" t="s">
        <v>1565</v>
      </c>
      <c r="H457" s="295" t="s">
        <v>1565</v>
      </c>
      <c r="I457" s="297">
        <v>43601.703217592592</v>
      </c>
      <c r="J457" s="297">
        <v>43615</v>
      </c>
      <c r="K457" s="297">
        <v>44710</v>
      </c>
      <c r="L457" s="297">
        <v>43565</v>
      </c>
      <c r="M457" s="298" t="s">
        <v>2339</v>
      </c>
      <c r="N457" s="296" t="str">
        <f>"Guinee,Kankan,Kankan,Balandougou; Mandiana,Koundian, Mandiana-centre"</f>
        <v>Guinee,Kankan,Kankan,Balandougou; Mandiana,Koundian, Mandiana-centre</v>
      </c>
    </row>
    <row r="458" spans="2:14" ht="27" x14ac:dyDescent="0.15">
      <c r="B458" s="295" t="str">
        <f>"22628"</f>
        <v>22628</v>
      </c>
      <c r="C458" s="295" t="str">
        <f>"A2019/3888"</f>
        <v>A2019/3888</v>
      </c>
      <c r="D458" s="296" t="s">
        <v>2332</v>
      </c>
      <c r="E458" s="295" t="s">
        <v>154</v>
      </c>
      <c r="F458" s="295" t="s">
        <v>644</v>
      </c>
      <c r="G458" s="295" t="s">
        <v>1565</v>
      </c>
      <c r="H458" s="295" t="s">
        <v>1873</v>
      </c>
      <c r="I458" s="297">
        <v>43601.395543981482</v>
      </c>
      <c r="J458" s="297">
        <v>43615</v>
      </c>
      <c r="K458" s="297">
        <v>44710</v>
      </c>
      <c r="L458" s="297">
        <v>43455</v>
      </c>
      <c r="M458" s="298" t="s">
        <v>2340</v>
      </c>
      <c r="N458" s="296" t="str">
        <f>"Guinee,Kankan,Siguiri,Kintinian, Maléa"</f>
        <v>Guinee,Kankan,Siguiri,Kintinian, Maléa</v>
      </c>
    </row>
    <row r="459" spans="2:14" ht="18.75" x14ac:dyDescent="0.15">
      <c r="B459" s="295" t="str">
        <f>"19724"</f>
        <v>19724</v>
      </c>
      <c r="C459" s="295" t="str">
        <f>"A2019/3289/MMG/SGG"</f>
        <v>A2019/3289/MMG/SGG</v>
      </c>
      <c r="D459" s="296" t="s">
        <v>1672</v>
      </c>
      <c r="E459" s="295" t="s">
        <v>154</v>
      </c>
      <c r="F459" s="295" t="s">
        <v>644</v>
      </c>
      <c r="G459" s="295" t="s">
        <v>1565</v>
      </c>
      <c r="H459" s="295" t="s">
        <v>1565</v>
      </c>
      <c r="I459" s="297">
        <v>42347.643275462964</v>
      </c>
      <c r="J459" s="297">
        <v>42135</v>
      </c>
      <c r="K459" s="297">
        <v>43974</v>
      </c>
      <c r="L459" s="297">
        <v>41617</v>
      </c>
      <c r="M459" s="298" t="s">
        <v>2341</v>
      </c>
      <c r="N459" s="296" t="str">
        <f>"Guinee,Kankan,Mandiana,Dialokoro"</f>
        <v>Guinee,Kankan,Mandiana,Dialokoro</v>
      </c>
    </row>
    <row r="460" spans="2:14" ht="18.75" x14ac:dyDescent="0.15">
      <c r="B460" s="295" t="str">
        <f>"19723"</f>
        <v>19723</v>
      </c>
      <c r="C460" s="295" t="str">
        <f>"A2019/3288/MMG/SGG"</f>
        <v>A2019/3288/MMG/SGG</v>
      </c>
      <c r="D460" s="296" t="s">
        <v>1672</v>
      </c>
      <c r="E460" s="295" t="s">
        <v>154</v>
      </c>
      <c r="F460" s="295" t="s">
        <v>644</v>
      </c>
      <c r="G460" s="295" t="s">
        <v>1565</v>
      </c>
      <c r="H460" s="295" t="s">
        <v>1565</v>
      </c>
      <c r="I460" s="297">
        <v>43217.463738425926</v>
      </c>
      <c r="J460" s="297">
        <v>42135</v>
      </c>
      <c r="K460" s="297">
        <v>43974</v>
      </c>
      <c r="L460" s="297">
        <v>41617</v>
      </c>
      <c r="M460" s="298" t="s">
        <v>2342</v>
      </c>
      <c r="N460" s="296" t="str">
        <f>"Guinee,Kankan,Mandiana,Morodou"</f>
        <v>Guinee,Kankan,Mandiana,Morodou</v>
      </c>
    </row>
    <row r="461" spans="2:14" ht="18.75" x14ac:dyDescent="0.15">
      <c r="B461" s="295" t="str">
        <f>"20090"</f>
        <v>20090</v>
      </c>
      <c r="C461" s="295" t="str">
        <f>"A2019/3285/MMG/SGG"</f>
        <v>A2019/3285/MMG/SGG</v>
      </c>
      <c r="D461" s="296" t="s">
        <v>2343</v>
      </c>
      <c r="E461" s="295" t="s">
        <v>254</v>
      </c>
      <c r="F461" s="295" t="s">
        <v>1568</v>
      </c>
      <c r="G461" s="295" t="s">
        <v>1565</v>
      </c>
      <c r="H461" s="295" t="s">
        <v>1873</v>
      </c>
      <c r="I461" s="297">
        <v>43593.579282407409</v>
      </c>
      <c r="J461" s="297">
        <v>42440</v>
      </c>
      <c r="K461" s="297">
        <v>44339</v>
      </c>
      <c r="L461" s="297">
        <v>42226</v>
      </c>
      <c r="M461" s="298" t="s">
        <v>2344</v>
      </c>
      <c r="N461" s="296" t="str">
        <f>"Guinee,Boke,Gaoual,Wendou M'bour"</f>
        <v>Guinee,Boke,Gaoual,Wendou M'bour</v>
      </c>
    </row>
    <row r="462" spans="2:14" ht="27" x14ac:dyDescent="0.15">
      <c r="B462" s="295" t="str">
        <f>"22597"</f>
        <v>22597</v>
      </c>
      <c r="C462" s="295" t="str">
        <f>"A2019/3282/MMG/SGG"</f>
        <v>A2019/3282/MMG/SGG</v>
      </c>
      <c r="D462" s="296" t="s">
        <v>2312</v>
      </c>
      <c r="E462" s="295" t="s">
        <v>1813</v>
      </c>
      <c r="F462" s="295" t="s">
        <v>644</v>
      </c>
      <c r="G462" s="295" t="s">
        <v>1565</v>
      </c>
      <c r="H462" s="295" t="s">
        <v>1565</v>
      </c>
      <c r="I462" s="297">
        <v>43559.649884259263</v>
      </c>
      <c r="J462" s="297">
        <v>43608</v>
      </c>
      <c r="K462" s="297">
        <v>44703</v>
      </c>
      <c r="L462" s="297">
        <v>43546</v>
      </c>
      <c r="M462" s="298" t="s">
        <v>2345</v>
      </c>
      <c r="N462" s="296" t="str">
        <f>"Guinee,Kankan,Siguiri,Kiniebakoura"</f>
        <v>Guinee,Kankan,Siguiri,Kiniebakoura</v>
      </c>
    </row>
    <row r="463" spans="2:14" ht="27" x14ac:dyDescent="0.15">
      <c r="B463" s="295" t="str">
        <f>"22612"</f>
        <v>22612</v>
      </c>
      <c r="C463" s="295" t="str">
        <f>"A2019/3280/MMG/SGG"</f>
        <v>A2019/3280/MMG/SGG</v>
      </c>
      <c r="D463" s="296" t="s">
        <v>2346</v>
      </c>
      <c r="E463" s="295" t="s">
        <v>154</v>
      </c>
      <c r="F463" s="295" t="s">
        <v>644</v>
      </c>
      <c r="G463" s="295" t="s">
        <v>1565</v>
      </c>
      <c r="H463" s="295" t="s">
        <v>1678</v>
      </c>
      <c r="I463" s="297">
        <v>43572.626979166664</v>
      </c>
      <c r="J463" s="297">
        <v>43608</v>
      </c>
      <c r="K463" s="297">
        <v>44703</v>
      </c>
      <c r="L463" s="297">
        <v>43549</v>
      </c>
      <c r="M463" s="298" t="s">
        <v>2347</v>
      </c>
      <c r="N463" s="296" t="str">
        <f>"Guinee,Kankan,Siguiri,Maléa, Siguirini"</f>
        <v>Guinee,Kankan,Siguiri,Maléa, Siguirini</v>
      </c>
    </row>
    <row r="464" spans="2:14" ht="27" x14ac:dyDescent="0.15">
      <c r="B464" s="295" t="str">
        <f>"22599"</f>
        <v>22599</v>
      </c>
      <c r="C464" s="295" t="str">
        <f>"A2019/3279/MMG/SGG"</f>
        <v>A2019/3279/MMG/SGG</v>
      </c>
      <c r="D464" s="296" t="s">
        <v>2348</v>
      </c>
      <c r="E464" s="295" t="s">
        <v>154</v>
      </c>
      <c r="F464" s="295" t="s">
        <v>644</v>
      </c>
      <c r="G464" s="295" t="s">
        <v>1565</v>
      </c>
      <c r="H464" s="295" t="s">
        <v>1565</v>
      </c>
      <c r="I464" s="297">
        <v>43559.725486111114</v>
      </c>
      <c r="J464" s="297">
        <v>43608</v>
      </c>
      <c r="K464" s="297">
        <v>44703</v>
      </c>
      <c r="L464" s="297">
        <v>43546</v>
      </c>
      <c r="M464" s="298" t="s">
        <v>2349</v>
      </c>
      <c r="N464" s="296" t="str">
        <f>"Guinee,Kankan,Siguiri,Doko, Siguiri-centre"</f>
        <v>Guinee,Kankan,Siguiri,Doko, Siguiri-centre</v>
      </c>
    </row>
    <row r="465" spans="2:14" ht="27" x14ac:dyDescent="0.15">
      <c r="B465" s="295" t="str">
        <f>"22573"</f>
        <v>22573</v>
      </c>
      <c r="C465" s="295" t="str">
        <f>"A2019/3278/MMG/SGG"</f>
        <v>A2019/3278/MMG/SGG</v>
      </c>
      <c r="D465" s="296" t="s">
        <v>2350</v>
      </c>
      <c r="E465" s="295" t="s">
        <v>1869</v>
      </c>
      <c r="F465" s="295" t="s">
        <v>1718</v>
      </c>
      <c r="G465" s="295" t="s">
        <v>1565</v>
      </c>
      <c r="H465" s="295" t="s">
        <v>1873</v>
      </c>
      <c r="I465" s="297">
        <v>43530.452534722222</v>
      </c>
      <c r="J465" s="297">
        <v>43608</v>
      </c>
      <c r="K465" s="297">
        <v>44703</v>
      </c>
      <c r="L465" s="297">
        <v>43508</v>
      </c>
      <c r="M465" s="298" t="s">
        <v>2351</v>
      </c>
      <c r="N465" s="296" t="str">
        <f>"Guinee,N'Zerekore,Lola,Lola-centre; N'Zerekore,Soulouta, Yalenzou"</f>
        <v>Guinee,N'Zerekore,Lola,Lola-centre; N'Zerekore,Soulouta, Yalenzou</v>
      </c>
    </row>
    <row r="466" spans="2:14" ht="18.75" x14ac:dyDescent="0.15">
      <c r="B466" s="295" t="str">
        <f>"22621"</f>
        <v>22621</v>
      </c>
      <c r="C466" s="295" t="str">
        <f>"A2019/3277/MMG"</f>
        <v>A2019/3277/MMG</v>
      </c>
      <c r="D466" s="296" t="s">
        <v>2352</v>
      </c>
      <c r="E466" s="295" t="s">
        <v>154</v>
      </c>
      <c r="F466" s="295" t="s">
        <v>644</v>
      </c>
      <c r="G466" s="295" t="s">
        <v>1565</v>
      </c>
      <c r="H466" s="295" t="s">
        <v>1873</v>
      </c>
      <c r="I466" s="297">
        <v>43594.509976851848</v>
      </c>
      <c r="J466" s="297">
        <v>43608</v>
      </c>
      <c r="K466" s="297">
        <v>44703</v>
      </c>
      <c r="L466" s="297">
        <v>43600</v>
      </c>
      <c r="M466" s="298" t="s">
        <v>2353</v>
      </c>
      <c r="N466" s="296" t="str">
        <f>"Guinee,Kankan,Kankan,Balandougou"</f>
        <v>Guinee,Kankan,Kankan,Balandougou</v>
      </c>
    </row>
    <row r="467" spans="2:14" ht="27" x14ac:dyDescent="0.15">
      <c r="B467" s="295" t="str">
        <f>"22613"</f>
        <v>22613</v>
      </c>
      <c r="C467" s="295" t="str">
        <f>"A2019/2969/MMG/SGG"</f>
        <v>A2019/2969/MMG/SGG</v>
      </c>
      <c r="D467" s="296" t="s">
        <v>2354</v>
      </c>
      <c r="E467" s="295" t="s">
        <v>78</v>
      </c>
      <c r="F467" s="295" t="s">
        <v>1769</v>
      </c>
      <c r="G467" s="295" t="s">
        <v>1565</v>
      </c>
      <c r="H467" s="295" t="s">
        <v>1565</v>
      </c>
      <c r="I467" s="297">
        <v>43584.485578703701</v>
      </c>
      <c r="J467" s="297">
        <v>43605</v>
      </c>
      <c r="K467" s="297">
        <v>44335</v>
      </c>
      <c r="L467" s="297">
        <v>43539</v>
      </c>
      <c r="M467" s="298" t="s">
        <v>2355</v>
      </c>
      <c r="N467" s="296" t="str">
        <f>"Guinee,Boke,Boke,Boké-centre"</f>
        <v>Guinee,Boke,Boke,Boké-centre</v>
      </c>
    </row>
    <row r="468" spans="2:14" ht="18.75" x14ac:dyDescent="0.15">
      <c r="B468" s="295" t="str">
        <f>"22615"</f>
        <v>22615</v>
      </c>
      <c r="C468" s="295" t="str">
        <f>"A2019/2733/MMG/SGG"</f>
        <v>A2019/2733/MMG/SGG</v>
      </c>
      <c r="D468" s="296" t="s">
        <v>2356</v>
      </c>
      <c r="E468" s="295" t="s">
        <v>154</v>
      </c>
      <c r="F468" s="295" t="s">
        <v>644</v>
      </c>
      <c r="G468" s="295" t="s">
        <v>1565</v>
      </c>
      <c r="H468" s="295" t="s">
        <v>1565</v>
      </c>
      <c r="I468" s="297">
        <v>43587.672650462962</v>
      </c>
      <c r="J468" s="297">
        <v>43605</v>
      </c>
      <c r="K468" s="297">
        <v>44700</v>
      </c>
      <c r="L468" s="297">
        <v>43553</v>
      </c>
      <c r="M468" s="298" t="s">
        <v>2357</v>
      </c>
      <c r="N468" s="296" t="str">
        <f>"Guinee,Kankan,Mandiana,Kiniéran, Morodou"</f>
        <v>Guinee,Kankan,Mandiana,Kiniéran, Morodou</v>
      </c>
    </row>
    <row r="469" spans="2:14" ht="18.75" x14ac:dyDescent="0.15">
      <c r="B469" s="295" t="str">
        <f>"22617"</f>
        <v>22617</v>
      </c>
      <c r="C469" s="295" t="str">
        <f>"A2019/2732/MMG/SGG"</f>
        <v>A2019/2732/MMG/SGG</v>
      </c>
      <c r="D469" s="296" t="s">
        <v>2356</v>
      </c>
      <c r="E469" s="295" t="s">
        <v>154</v>
      </c>
      <c r="F469" s="295" t="s">
        <v>644</v>
      </c>
      <c r="G469" s="295" t="s">
        <v>1565</v>
      </c>
      <c r="H469" s="295" t="s">
        <v>1565</v>
      </c>
      <c r="I469" s="297">
        <v>43587.697384259256</v>
      </c>
      <c r="J469" s="297">
        <v>43605</v>
      </c>
      <c r="K469" s="297">
        <v>44700</v>
      </c>
      <c r="L469" s="297">
        <v>43553</v>
      </c>
      <c r="M469" s="298" t="s">
        <v>2358</v>
      </c>
      <c r="N469" s="296" t="str">
        <f>"Guinee,Kankan,Mandiana,Koundian, Morodou"</f>
        <v>Guinee,Kankan,Mandiana,Koundian, Morodou</v>
      </c>
    </row>
    <row r="470" spans="2:14" ht="18.75" x14ac:dyDescent="0.15">
      <c r="B470" s="295" t="str">
        <f>"22616"</f>
        <v>22616</v>
      </c>
      <c r="C470" s="295" t="str">
        <f>"A2019/2731/MMG/SGG"</f>
        <v>A2019/2731/MMG/SGG</v>
      </c>
      <c r="D470" s="296" t="s">
        <v>2356</v>
      </c>
      <c r="E470" s="295" t="s">
        <v>154</v>
      </c>
      <c r="F470" s="295" t="s">
        <v>644</v>
      </c>
      <c r="G470" s="295" t="s">
        <v>1565</v>
      </c>
      <c r="H470" s="295" t="s">
        <v>1565</v>
      </c>
      <c r="I470" s="297">
        <v>43587.686099537037</v>
      </c>
      <c r="J470" s="297">
        <v>43605</v>
      </c>
      <c r="K470" s="297">
        <v>44700</v>
      </c>
      <c r="L470" s="297">
        <v>43553</v>
      </c>
      <c r="M470" s="298" t="s">
        <v>2359</v>
      </c>
      <c r="N470" s="296" t="str">
        <f>"Guinee,Kankan,Mandiana,Koundian, Morodou"</f>
        <v>Guinee,Kankan,Mandiana,Koundian, Morodou</v>
      </c>
    </row>
    <row r="471" spans="2:14" ht="18.75" x14ac:dyDescent="0.15">
      <c r="B471" s="295" t="str">
        <f>"22614"</f>
        <v>22614</v>
      </c>
      <c r="C471" s="295" t="str">
        <f>"A2019/2730/MMG/SGG"</f>
        <v>A2019/2730/MMG/SGG</v>
      </c>
      <c r="D471" s="296" t="s">
        <v>2356</v>
      </c>
      <c r="E471" s="295" t="s">
        <v>154</v>
      </c>
      <c r="F471" s="295" t="s">
        <v>644</v>
      </c>
      <c r="G471" s="295" t="s">
        <v>1565</v>
      </c>
      <c r="H471" s="295" t="s">
        <v>1565</v>
      </c>
      <c r="I471" s="297">
        <v>43587.644201388888</v>
      </c>
      <c r="J471" s="297">
        <v>43605</v>
      </c>
      <c r="K471" s="297">
        <v>44700</v>
      </c>
      <c r="L471" s="297">
        <v>43553</v>
      </c>
      <c r="M471" s="298" t="s">
        <v>2360</v>
      </c>
      <c r="N471" s="296" t="str">
        <f>"Guinee,Kankan,Mandiana,Kiniéran, Morodou"</f>
        <v>Guinee,Kankan,Mandiana,Kiniéran, Morodou</v>
      </c>
    </row>
    <row r="472" spans="2:14" ht="18.75" x14ac:dyDescent="0.15">
      <c r="B472" s="295" t="str">
        <f>"19757"</f>
        <v>19757</v>
      </c>
      <c r="C472" s="295" t="str">
        <f>"A2019/192/MMG/SGG"</f>
        <v>A2019/192/MMG/SGG</v>
      </c>
      <c r="D472" s="296" t="s">
        <v>1843</v>
      </c>
      <c r="E472" s="295" t="s">
        <v>154</v>
      </c>
      <c r="F472" s="295" t="s">
        <v>644</v>
      </c>
      <c r="G472" s="295" t="s">
        <v>1565</v>
      </c>
      <c r="H472" s="295" t="s">
        <v>1565</v>
      </c>
      <c r="I472" s="297">
        <v>42150</v>
      </c>
      <c r="J472" s="297">
        <v>42265</v>
      </c>
      <c r="K472" s="297">
        <v>44232</v>
      </c>
      <c r="L472" s="297">
        <v>42150</v>
      </c>
      <c r="M472" s="298" t="s">
        <v>2361</v>
      </c>
      <c r="N472" s="296" t="str">
        <f>"Guinee,Kankan,Kouroussa,Kouroussa-centre, Sanguiana"</f>
        <v>Guinee,Kankan,Kouroussa,Kouroussa-centre, Sanguiana</v>
      </c>
    </row>
    <row r="473" spans="2:14" ht="18.75" x14ac:dyDescent="0.15">
      <c r="B473" s="295" t="str">
        <f>"19701"</f>
        <v>19701</v>
      </c>
      <c r="C473" s="295" t="str">
        <f>"A2019/191/MMG/SGG"</f>
        <v>A2019/191/MMG/SGG</v>
      </c>
      <c r="D473" s="296" t="s">
        <v>1843</v>
      </c>
      <c r="E473" s="295" t="s">
        <v>154</v>
      </c>
      <c r="F473" s="295" t="s">
        <v>644</v>
      </c>
      <c r="G473" s="295" t="s">
        <v>1565</v>
      </c>
      <c r="H473" s="295" t="s">
        <v>1565</v>
      </c>
      <c r="I473" s="297"/>
      <c r="J473" s="297">
        <v>42265</v>
      </c>
      <c r="K473" s="297">
        <v>44232</v>
      </c>
      <c r="L473" s="297">
        <v>42150</v>
      </c>
      <c r="M473" s="298" t="s">
        <v>2362</v>
      </c>
      <c r="N473" s="296" t="str">
        <f>"Guinee,Kankan,Kouroussa,Kouroussa-centre"</f>
        <v>Guinee,Kankan,Kouroussa,Kouroussa-centre</v>
      </c>
    </row>
    <row r="474" spans="2:14" ht="27" x14ac:dyDescent="0.15">
      <c r="B474" s="295" t="str">
        <f>"22558"</f>
        <v>22558</v>
      </c>
      <c r="C474" s="295" t="str">
        <f>"A2019/187/MMG"</f>
        <v>A2019/187/MMG</v>
      </c>
      <c r="D474" s="296" t="s">
        <v>2363</v>
      </c>
      <c r="E474" s="295" t="s">
        <v>78</v>
      </c>
      <c r="F474" s="295" t="s">
        <v>1781</v>
      </c>
      <c r="G474" s="295" t="s">
        <v>1565</v>
      </c>
      <c r="H474" s="295" t="s">
        <v>1678</v>
      </c>
      <c r="I474" s="297">
        <v>43494.45453703704</v>
      </c>
      <c r="J474" s="297">
        <v>43501</v>
      </c>
      <c r="K474" s="297">
        <v>44231</v>
      </c>
      <c r="L474" s="297">
        <v>43365</v>
      </c>
      <c r="M474" s="298" t="s">
        <v>2364</v>
      </c>
      <c r="N474" s="296" t="str">
        <f>"Guinee,Boke,Boke,Malapouyah"</f>
        <v>Guinee,Boke,Boke,Malapouyah</v>
      </c>
    </row>
    <row r="475" spans="2:14" ht="27" x14ac:dyDescent="0.15">
      <c r="B475" s="295" t="str">
        <f>"22552"</f>
        <v>22552</v>
      </c>
      <c r="C475" s="295" t="str">
        <f>"A2019/186/MMG"</f>
        <v>A2019/186/MMG</v>
      </c>
      <c r="D475" s="296" t="s">
        <v>2365</v>
      </c>
      <c r="E475" s="295" t="s">
        <v>154</v>
      </c>
      <c r="F475" s="295" t="s">
        <v>644</v>
      </c>
      <c r="G475" s="295" t="s">
        <v>1565</v>
      </c>
      <c r="H475" s="295" t="s">
        <v>1678</v>
      </c>
      <c r="I475" s="297">
        <v>43483.639548611114</v>
      </c>
      <c r="J475" s="297">
        <v>43501</v>
      </c>
      <c r="K475" s="297">
        <v>44596</v>
      </c>
      <c r="L475" s="297">
        <v>43448</v>
      </c>
      <c r="M475" s="298" t="s">
        <v>2366</v>
      </c>
      <c r="N475" s="296" t="str">
        <f>"Guinee,Kankan,Mandiana,Kiniéran"</f>
        <v>Guinee,Kankan,Mandiana,Kiniéran</v>
      </c>
    </row>
    <row r="476" spans="2:14" ht="27" x14ac:dyDescent="0.15">
      <c r="B476" s="295" t="str">
        <f>"22553"</f>
        <v>22553</v>
      </c>
      <c r="C476" s="295" t="str">
        <f>"A2019/185/MMG"</f>
        <v>A2019/185/MMG</v>
      </c>
      <c r="D476" s="296" t="s">
        <v>1623</v>
      </c>
      <c r="E476" s="295" t="s">
        <v>154</v>
      </c>
      <c r="F476" s="295" t="s">
        <v>644</v>
      </c>
      <c r="G476" s="295" t="s">
        <v>1565</v>
      </c>
      <c r="H476" s="295" t="s">
        <v>1565</v>
      </c>
      <c r="I476" s="297">
        <v>43483.668981481482</v>
      </c>
      <c r="J476" s="297">
        <v>43501</v>
      </c>
      <c r="K476" s="297">
        <v>44596</v>
      </c>
      <c r="L476" s="297">
        <v>43455</v>
      </c>
      <c r="M476" s="298" t="s">
        <v>2367</v>
      </c>
      <c r="N476" s="296" t="str">
        <f>"Guinee,Kankan,Kankan,Baté-Nafadji; Kouroussa,Doura; Siguiri,Norassoba"</f>
        <v>Guinee,Kankan,Kankan,Baté-Nafadji; Kouroussa,Doura; Siguiri,Norassoba</v>
      </c>
    </row>
    <row r="477" spans="2:14" ht="18.75" x14ac:dyDescent="0.15">
      <c r="B477" s="295" t="str">
        <f>"22561"</f>
        <v>22561</v>
      </c>
      <c r="C477" s="295" t="str">
        <f>"A2019/184/MMG"</f>
        <v>A2019/184/MMG</v>
      </c>
      <c r="D477" s="296" t="s">
        <v>2368</v>
      </c>
      <c r="E477" s="295" t="s">
        <v>154</v>
      </c>
      <c r="F477" s="295" t="s">
        <v>644</v>
      </c>
      <c r="G477" s="295" t="s">
        <v>1565</v>
      </c>
      <c r="H477" s="295" t="s">
        <v>1565</v>
      </c>
      <c r="I477" s="297">
        <v>43495.766481481478</v>
      </c>
      <c r="J477" s="297">
        <v>43501</v>
      </c>
      <c r="K477" s="297">
        <v>44596</v>
      </c>
      <c r="L477" s="297">
        <v>43495</v>
      </c>
      <c r="M477" s="298" t="s">
        <v>2369</v>
      </c>
      <c r="N477" s="296" t="str">
        <f>"Guinee,Faranah,Dinguiraye,Diatiféré"</f>
        <v>Guinee,Faranah,Dinguiraye,Diatiféré</v>
      </c>
    </row>
    <row r="478" spans="2:14" ht="27" x14ac:dyDescent="0.15">
      <c r="B478" s="295" t="str">
        <f>"22601"</f>
        <v>22601</v>
      </c>
      <c r="C478" s="295" t="str">
        <f>"A2019/1620/MMG"</f>
        <v>A2019/1620/MMG</v>
      </c>
      <c r="D478" s="296" t="s">
        <v>1825</v>
      </c>
      <c r="E478" s="295" t="s">
        <v>1869</v>
      </c>
      <c r="F478" s="295" t="s">
        <v>2194</v>
      </c>
      <c r="G478" s="295" t="s">
        <v>1565</v>
      </c>
      <c r="H478" s="295" t="s">
        <v>1565</v>
      </c>
      <c r="I478" s="297">
        <v>43560.524189814816</v>
      </c>
      <c r="J478" s="297">
        <v>43592</v>
      </c>
      <c r="K478" s="297">
        <v>44687</v>
      </c>
      <c r="L478" s="297">
        <v>43560</v>
      </c>
      <c r="M478" s="298" t="s">
        <v>2370</v>
      </c>
      <c r="N478" s="296" t="str">
        <f>"Guinee,Kindia,Coyah,Kouria; Dubreka,Dubréka, Khorira"</f>
        <v>Guinee,Kindia,Coyah,Kouria; Dubreka,Dubréka, Khorira</v>
      </c>
    </row>
    <row r="479" spans="2:14" ht="27" x14ac:dyDescent="0.15">
      <c r="B479" s="295" t="str">
        <f>"22609"</f>
        <v>22609</v>
      </c>
      <c r="C479" s="295" t="str">
        <f>"A2019/1562/MMG"</f>
        <v>A2019/1562/MMG</v>
      </c>
      <c r="D479" s="296" t="s">
        <v>2371</v>
      </c>
      <c r="E479" s="295" t="s">
        <v>78</v>
      </c>
      <c r="F479" s="295" t="s">
        <v>1769</v>
      </c>
      <c r="G479" s="295" t="s">
        <v>1565</v>
      </c>
      <c r="H479" s="295" t="s">
        <v>1565</v>
      </c>
      <c r="I479" s="297">
        <v>43570.532766203702</v>
      </c>
      <c r="J479" s="297">
        <v>43584</v>
      </c>
      <c r="K479" s="297">
        <v>44314</v>
      </c>
      <c r="L479" s="297">
        <v>43522</v>
      </c>
      <c r="M479" s="298" t="s">
        <v>2372</v>
      </c>
      <c r="N479" s="296" t="str">
        <f>"Guinee,Kindia,Dubreka,Khorira"</f>
        <v>Guinee,Kindia,Dubreka,Khorira</v>
      </c>
    </row>
    <row r="480" spans="2:14" x14ac:dyDescent="0.15">
      <c r="B480" s="295" t="str">
        <f>"22610"</f>
        <v>22610</v>
      </c>
      <c r="C480" s="295" t="str">
        <f>"A2019/1561/MMG"</f>
        <v>A2019/1561/MMG</v>
      </c>
      <c r="D480" s="296" t="s">
        <v>157</v>
      </c>
      <c r="E480" s="295" t="s">
        <v>78</v>
      </c>
      <c r="F480" s="295" t="s">
        <v>1769</v>
      </c>
      <c r="G480" s="295" t="s">
        <v>1565</v>
      </c>
      <c r="H480" s="295" t="s">
        <v>1565</v>
      </c>
      <c r="I480" s="297">
        <v>43570.56046296296</v>
      </c>
      <c r="J480" s="297">
        <v>43584</v>
      </c>
      <c r="K480" s="297">
        <v>44314</v>
      </c>
      <c r="L480" s="297">
        <v>43567</v>
      </c>
      <c r="M480" s="298" t="s">
        <v>2373</v>
      </c>
      <c r="N480" s="296" t="str">
        <f>"Guinee,Kindia,Dubreka,Khorira"</f>
        <v>Guinee,Kindia,Dubreka,Khorira</v>
      </c>
    </row>
    <row r="481" spans="2:14" ht="18.75" x14ac:dyDescent="0.15">
      <c r="B481" s="295" t="str">
        <f>"20089"</f>
        <v>20089</v>
      </c>
      <c r="C481" s="295" t="str">
        <f>"A2019/1560/MMG/SGG"</f>
        <v>A2019/1560/MMG/SGG</v>
      </c>
      <c r="D481" s="296" t="s">
        <v>2343</v>
      </c>
      <c r="E481" s="295" t="s">
        <v>254</v>
      </c>
      <c r="F481" s="295" t="s">
        <v>1568</v>
      </c>
      <c r="G481" s="295" t="s">
        <v>1565</v>
      </c>
      <c r="H481" s="295" t="s">
        <v>1873</v>
      </c>
      <c r="I481" s="297">
        <v>43544.451365740744</v>
      </c>
      <c r="J481" s="297">
        <v>42359</v>
      </c>
      <c r="K481" s="297">
        <v>44315</v>
      </c>
      <c r="L481" s="297">
        <v>42226</v>
      </c>
      <c r="M481" s="298" t="s">
        <v>2374</v>
      </c>
      <c r="N481" s="296" t="str">
        <f>"Guinee,Boke,Boke,Dabiss"</f>
        <v>Guinee,Boke,Boke,Dabiss</v>
      </c>
    </row>
    <row r="482" spans="2:14" ht="18.75" x14ac:dyDescent="0.15">
      <c r="B482" s="295" t="str">
        <f>"22606"</f>
        <v>22606</v>
      </c>
      <c r="C482" s="295" t="str">
        <f>"A2019/1559/MMG"</f>
        <v>A2019/1559/MMG</v>
      </c>
      <c r="D482" s="296" t="s">
        <v>2352</v>
      </c>
      <c r="E482" s="295" t="s">
        <v>154</v>
      </c>
      <c r="F482" s="295" t="s">
        <v>644</v>
      </c>
      <c r="G482" s="295" t="s">
        <v>1565</v>
      </c>
      <c r="H482" s="295" t="s">
        <v>1873</v>
      </c>
      <c r="I482" s="297">
        <v>43560.558067129627</v>
      </c>
      <c r="J482" s="297">
        <v>43584</v>
      </c>
      <c r="K482" s="297">
        <v>44679</v>
      </c>
      <c r="L482" s="297">
        <v>43560</v>
      </c>
      <c r="M482" s="298" t="s">
        <v>2375</v>
      </c>
      <c r="N482" s="296" t="str">
        <f>"Guinee,Kankan,Kankan,Balandougou"</f>
        <v>Guinee,Kankan,Kankan,Balandougou</v>
      </c>
    </row>
    <row r="483" spans="2:14" ht="18.75" x14ac:dyDescent="0.15">
      <c r="B483" s="295" t="str">
        <f>"22611"</f>
        <v>22611</v>
      </c>
      <c r="C483" s="295" t="str">
        <f>"A2019/1558"</f>
        <v>A2019/1558</v>
      </c>
      <c r="D483" s="296" t="s">
        <v>2335</v>
      </c>
      <c r="E483" s="295" t="s">
        <v>154</v>
      </c>
      <c r="F483" s="295" t="s">
        <v>644</v>
      </c>
      <c r="G483" s="295" t="s">
        <v>1565</v>
      </c>
      <c r="H483" s="295" t="s">
        <v>1873</v>
      </c>
      <c r="I483" s="297">
        <v>43571.373379629629</v>
      </c>
      <c r="J483" s="297">
        <v>43584</v>
      </c>
      <c r="K483" s="297">
        <v>44679</v>
      </c>
      <c r="L483" s="297">
        <v>43570</v>
      </c>
      <c r="M483" s="298" t="s">
        <v>2376</v>
      </c>
      <c r="N483" s="296" t="str">
        <f>"Guinee,Kankan,Kankan,Balandougou, Missamana"</f>
        <v>Guinee,Kankan,Kankan,Balandougou, Missamana</v>
      </c>
    </row>
    <row r="484" spans="2:14" ht="18.75" x14ac:dyDescent="0.15">
      <c r="B484" s="295" t="str">
        <f>"22547"</f>
        <v>22547</v>
      </c>
      <c r="C484" s="295" t="str">
        <f>"A2019/148/MMG"</f>
        <v>A2019/148/MMG</v>
      </c>
      <c r="D484" s="296" t="s">
        <v>2377</v>
      </c>
      <c r="E484" s="295" t="s">
        <v>154</v>
      </c>
      <c r="F484" s="295" t="s">
        <v>644</v>
      </c>
      <c r="G484" s="295" t="s">
        <v>1565</v>
      </c>
      <c r="H484" s="295" t="s">
        <v>1565</v>
      </c>
      <c r="I484" s="297">
        <v>43480.608344907407</v>
      </c>
      <c r="J484" s="297">
        <v>43500</v>
      </c>
      <c r="K484" s="297">
        <v>44595</v>
      </c>
      <c r="L484" s="297">
        <v>43462</v>
      </c>
      <c r="M484" s="298" t="s">
        <v>2378</v>
      </c>
      <c r="N484" s="296" t="str">
        <f>"Guinee,Kankan,Kankan,Baté-Nafadji"</f>
        <v>Guinee,Kankan,Kankan,Baté-Nafadji</v>
      </c>
    </row>
    <row r="485" spans="2:14" ht="27" x14ac:dyDescent="0.15">
      <c r="B485" s="295" t="str">
        <f>"22542"</f>
        <v>22542</v>
      </c>
      <c r="C485" s="295" t="str">
        <f>"A2019/142/MMG/SGG"</f>
        <v>A2019/142/MMG/SGG</v>
      </c>
      <c r="D485" s="296" t="s">
        <v>2379</v>
      </c>
      <c r="E485" s="295" t="s">
        <v>154</v>
      </c>
      <c r="F485" s="295" t="s">
        <v>644</v>
      </c>
      <c r="G485" s="295" t="s">
        <v>1565</v>
      </c>
      <c r="H485" s="295" t="s">
        <v>1565</v>
      </c>
      <c r="I485" s="297">
        <v>43461.531712962962</v>
      </c>
      <c r="J485" s="297">
        <v>43500</v>
      </c>
      <c r="K485" s="297">
        <v>44595</v>
      </c>
      <c r="L485" s="297">
        <v>43440</v>
      </c>
      <c r="M485" s="298" t="s">
        <v>2380</v>
      </c>
      <c r="N485" s="296" t="str">
        <f>"Guinee,Kankan,Siguiri,Maléa"</f>
        <v>Guinee,Kankan,Siguiri,Maléa</v>
      </c>
    </row>
    <row r="486" spans="2:14" ht="18.75" x14ac:dyDescent="0.15">
      <c r="B486" s="295" t="str">
        <f>"22550"</f>
        <v>22550</v>
      </c>
      <c r="C486" s="295" t="str">
        <f>"A2019/141/MMG/SGG"</f>
        <v>A2019/141/MMG/SGG</v>
      </c>
      <c r="D486" s="296" t="s">
        <v>2381</v>
      </c>
      <c r="E486" s="295" t="s">
        <v>154</v>
      </c>
      <c r="F486" s="295" t="s">
        <v>644</v>
      </c>
      <c r="G486" s="295" t="s">
        <v>1565</v>
      </c>
      <c r="H486" s="295" t="s">
        <v>1565</v>
      </c>
      <c r="I486" s="297">
        <v>43482.526307870372</v>
      </c>
      <c r="J486" s="297">
        <v>43500</v>
      </c>
      <c r="K486" s="297">
        <v>44595</v>
      </c>
      <c r="L486" s="297">
        <v>43462</v>
      </c>
      <c r="M486" s="298" t="s">
        <v>2382</v>
      </c>
      <c r="N486" s="296" t="str">
        <f>"Guinee,Kankan,Siguiri,Maléa, Naboun"</f>
        <v>Guinee,Kankan,Siguiri,Maléa, Naboun</v>
      </c>
    </row>
    <row r="487" spans="2:14" ht="27" x14ac:dyDescent="0.15">
      <c r="B487" s="295" t="str">
        <f>"22545"</f>
        <v>22545</v>
      </c>
      <c r="C487" s="295" t="str">
        <f>"A2019/140/MMG"</f>
        <v>A2019/140/MMG</v>
      </c>
      <c r="D487" s="296" t="s">
        <v>2215</v>
      </c>
      <c r="E487" s="295" t="s">
        <v>154</v>
      </c>
      <c r="F487" s="295" t="s">
        <v>644</v>
      </c>
      <c r="G487" s="295" t="s">
        <v>1565</v>
      </c>
      <c r="H487" s="295" t="s">
        <v>1678</v>
      </c>
      <c r="I487" s="297">
        <v>43473.384479166663</v>
      </c>
      <c r="J487" s="297">
        <v>43500</v>
      </c>
      <c r="K487" s="297">
        <v>44595</v>
      </c>
      <c r="L487" s="297">
        <v>43441</v>
      </c>
      <c r="M487" s="298" t="s">
        <v>2383</v>
      </c>
      <c r="N487" s="296" t="str">
        <f>"Guinee,Kankan,Siguiri,Kiniebakoura, Niandankoro"</f>
        <v>Guinee,Kankan,Siguiri,Kiniebakoura, Niandankoro</v>
      </c>
    </row>
    <row r="488" spans="2:14" ht="27" x14ac:dyDescent="0.15">
      <c r="B488" s="295" t="str">
        <f>"22521"</f>
        <v>22521</v>
      </c>
      <c r="C488" s="295" t="str">
        <f>"A2019/139/MMG/SG"</f>
        <v>A2019/139/MMG/SG</v>
      </c>
      <c r="D488" s="296" t="s">
        <v>2384</v>
      </c>
      <c r="E488" s="295" t="s">
        <v>1813</v>
      </c>
      <c r="F488" s="295" t="s">
        <v>1814</v>
      </c>
      <c r="G488" s="295" t="s">
        <v>1565</v>
      </c>
      <c r="H488" s="295" t="s">
        <v>1565</v>
      </c>
      <c r="I488" s="297">
        <v>43434.423541666663</v>
      </c>
      <c r="J488" s="297">
        <v>43500</v>
      </c>
      <c r="K488" s="297">
        <v>44595</v>
      </c>
      <c r="L488" s="297">
        <v>43383</v>
      </c>
      <c r="M488" s="298" t="s">
        <v>2385</v>
      </c>
      <c r="N488" s="296" t="str">
        <f>"Guinee,Labe,Labe,Kouramangui; Mali,Yimbéring"</f>
        <v>Guinee,Labe,Labe,Kouramangui; Mali,Yimbéring</v>
      </c>
    </row>
    <row r="489" spans="2:14" x14ac:dyDescent="0.15">
      <c r="B489" s="295" t="str">
        <f>"22556"</f>
        <v>22556</v>
      </c>
      <c r="C489" s="295" t="str">
        <f>"A2019/128/MMG"</f>
        <v>A2019/128/MMG</v>
      </c>
      <c r="D489" s="296" t="s">
        <v>2386</v>
      </c>
      <c r="E489" s="295" t="s">
        <v>78</v>
      </c>
      <c r="F489" s="295" t="s">
        <v>1781</v>
      </c>
      <c r="G489" s="295" t="s">
        <v>1565</v>
      </c>
      <c r="H489" s="295" t="s">
        <v>1565</v>
      </c>
      <c r="I489" s="297">
        <v>43490.593009259261</v>
      </c>
      <c r="J489" s="297">
        <v>43469</v>
      </c>
      <c r="K489" s="297">
        <v>44199</v>
      </c>
      <c r="L489" s="297">
        <v>43486</v>
      </c>
      <c r="M489" s="298" t="s">
        <v>2387</v>
      </c>
      <c r="N489" s="296" t="str">
        <f>"Guinee,Boke,Boke,Malapouyah"</f>
        <v>Guinee,Boke,Boke,Malapouyah</v>
      </c>
    </row>
    <row r="490" spans="2:14" ht="27" x14ac:dyDescent="0.15">
      <c r="B490" s="295" t="str">
        <f>"22559"</f>
        <v>22559</v>
      </c>
      <c r="C490" s="295" t="str">
        <f>"A2019/127/MMG/SGG"</f>
        <v>A2019/127/MMG/SGG</v>
      </c>
      <c r="D490" s="296" t="s">
        <v>196</v>
      </c>
      <c r="E490" s="295" t="s">
        <v>78</v>
      </c>
      <c r="F490" s="295" t="s">
        <v>1769</v>
      </c>
      <c r="G490" s="295" t="s">
        <v>1565</v>
      </c>
      <c r="H490" s="295" t="s">
        <v>1678</v>
      </c>
      <c r="I490" s="297">
        <v>43494.485486111109</v>
      </c>
      <c r="J490" s="297">
        <v>43469</v>
      </c>
      <c r="K490" s="297">
        <v>44924</v>
      </c>
      <c r="L490" s="297">
        <v>43479</v>
      </c>
      <c r="M490" s="298" t="s">
        <v>2388</v>
      </c>
      <c r="N490" s="296" t="str">
        <f>"Guinee,Kindia,Dubreka,Khorira"</f>
        <v>Guinee,Kindia,Dubreka,Khorira</v>
      </c>
    </row>
    <row r="491" spans="2:14" ht="18.75" x14ac:dyDescent="0.15">
      <c r="B491" s="295" t="str">
        <f>"22587"</f>
        <v>22587</v>
      </c>
      <c r="C491" s="295" t="str">
        <f>"A2019/1163/MMG/SGG"</f>
        <v>A2019/1163/MMG/SGG</v>
      </c>
      <c r="D491" s="296" t="s">
        <v>2389</v>
      </c>
      <c r="E491" s="295" t="s">
        <v>154</v>
      </c>
      <c r="F491" s="295" t="s">
        <v>644</v>
      </c>
      <c r="G491" s="295" t="s">
        <v>1565</v>
      </c>
      <c r="H491" s="295" t="s">
        <v>1565</v>
      </c>
      <c r="I491" s="297">
        <v>43539.534780092596</v>
      </c>
      <c r="J491" s="297">
        <v>43564</v>
      </c>
      <c r="K491" s="297">
        <v>44659</v>
      </c>
      <c r="L491" s="297">
        <v>43500</v>
      </c>
      <c r="M491" s="298" t="s">
        <v>2390</v>
      </c>
      <c r="N491" s="296" t="str">
        <f>"Guinee,Kankan,Siguiri,Norassoba"</f>
        <v>Guinee,Kankan,Siguiri,Norassoba</v>
      </c>
    </row>
    <row r="492" spans="2:14" ht="27" x14ac:dyDescent="0.15">
      <c r="B492" s="295" t="str">
        <f>"22594"</f>
        <v>22594</v>
      </c>
      <c r="C492" s="295" t="str">
        <f>"A2019/1162/MMG"</f>
        <v>A2019/1162/MMG</v>
      </c>
      <c r="D492" s="296" t="s">
        <v>2391</v>
      </c>
      <c r="E492" s="295" t="s">
        <v>254</v>
      </c>
      <c r="F492" s="295" t="s">
        <v>1568</v>
      </c>
      <c r="G492" s="295" t="s">
        <v>1565</v>
      </c>
      <c r="H492" s="295" t="s">
        <v>1873</v>
      </c>
      <c r="I492" s="297">
        <v>43551.680659722224</v>
      </c>
      <c r="J492" s="297">
        <v>43564</v>
      </c>
      <c r="K492" s="297">
        <v>44659</v>
      </c>
      <c r="L492" s="297">
        <v>43517</v>
      </c>
      <c r="M492" s="298" t="s">
        <v>2392</v>
      </c>
      <c r="N492" s="296" t="str">
        <f>"Guinee,Kindia,Kindia,Madina-Oula, Souguéta; Mamou,Mamou,Kounkouré, Soyah"</f>
        <v>Guinee,Kindia,Kindia,Madina-Oula, Souguéta; Mamou,Mamou,Kounkouré, Soyah</v>
      </c>
    </row>
    <row r="493" spans="2:14" ht="18.75" x14ac:dyDescent="0.15">
      <c r="B493" s="295" t="str">
        <f>"22593"</f>
        <v>22593</v>
      </c>
      <c r="C493" s="295" t="str">
        <f>"A2019/1160/MMG"</f>
        <v>A2019/1160/MMG</v>
      </c>
      <c r="D493" s="296" t="s">
        <v>2093</v>
      </c>
      <c r="E493" s="295" t="s">
        <v>154</v>
      </c>
      <c r="F493" s="295" t="s">
        <v>644</v>
      </c>
      <c r="G493" s="295" t="s">
        <v>1565</v>
      </c>
      <c r="H493" s="295" t="s">
        <v>1565</v>
      </c>
      <c r="I493" s="297">
        <v>43551.599398148152</v>
      </c>
      <c r="J493" s="297">
        <v>43564</v>
      </c>
      <c r="K493" s="297">
        <v>44659</v>
      </c>
      <c r="L493" s="297">
        <v>43535</v>
      </c>
      <c r="M493" s="298" t="s">
        <v>2393</v>
      </c>
      <c r="N493" s="296" t="str">
        <f>"Guinee,Kankan,Kankan,Balandougou, Kankan-centre, Tinti-Oulen"</f>
        <v>Guinee,Kankan,Kankan,Balandougou, Kankan-centre, Tinti-Oulen</v>
      </c>
    </row>
    <row r="494" spans="2:14" ht="18.75" x14ac:dyDescent="0.15">
      <c r="B494" s="295" t="str">
        <f>"22591"</f>
        <v>22591</v>
      </c>
      <c r="C494" s="295" t="str">
        <f>"A2019/1159/MMG"</f>
        <v>A2019/1159/MMG</v>
      </c>
      <c r="D494" s="296" t="s">
        <v>2394</v>
      </c>
      <c r="E494" s="295" t="s">
        <v>154</v>
      </c>
      <c r="F494" s="295" t="s">
        <v>644</v>
      </c>
      <c r="G494" s="295" t="s">
        <v>1565</v>
      </c>
      <c r="H494" s="295" t="s">
        <v>1873</v>
      </c>
      <c r="I494" s="297">
        <v>43551.534490740742</v>
      </c>
      <c r="J494" s="297">
        <v>43564</v>
      </c>
      <c r="K494" s="297">
        <v>44659</v>
      </c>
      <c r="L494" s="297">
        <v>43543</v>
      </c>
      <c r="M494" s="298" t="s">
        <v>2395</v>
      </c>
      <c r="N494" s="296" t="str">
        <f>"Guinee,Kankan,Mandiana,Koundian, Morodou"</f>
        <v>Guinee,Kankan,Mandiana,Koundian, Morodou</v>
      </c>
    </row>
    <row r="495" spans="2:14" ht="27" x14ac:dyDescent="0.15">
      <c r="B495" s="295" t="str">
        <f>"22588"</f>
        <v>22588</v>
      </c>
      <c r="C495" s="295" t="str">
        <f>"A2019/1158/MMG"</f>
        <v>A2019/1158/MMG</v>
      </c>
      <c r="D495" s="296" t="s">
        <v>2396</v>
      </c>
      <c r="E495" s="295" t="s">
        <v>78</v>
      </c>
      <c r="F495" s="295" t="s">
        <v>1781</v>
      </c>
      <c r="G495" s="295" t="s">
        <v>1565</v>
      </c>
      <c r="H495" s="295" t="s">
        <v>1678</v>
      </c>
      <c r="I495" s="297">
        <v>43545.475208333337</v>
      </c>
      <c r="J495" s="297">
        <v>43564</v>
      </c>
      <c r="K495" s="297">
        <v>44294</v>
      </c>
      <c r="L495" s="297">
        <v>43510</v>
      </c>
      <c r="M495" s="298" t="s">
        <v>2397</v>
      </c>
      <c r="N495" s="296" t="str">
        <f>"Guinee,Kindia,Coyah,Kouria"</f>
        <v>Guinee,Kindia,Coyah,Kouria</v>
      </c>
    </row>
    <row r="496" spans="2:14" x14ac:dyDescent="0.15">
      <c r="B496" s="295" t="str">
        <f>"22578"</f>
        <v>22578</v>
      </c>
      <c r="C496" s="295" t="str">
        <f>"A2019/1157/MMG"</f>
        <v>A2019/1157/MMG</v>
      </c>
      <c r="D496" s="296" t="s">
        <v>2398</v>
      </c>
      <c r="E496" s="295" t="s">
        <v>78</v>
      </c>
      <c r="F496" s="295" t="s">
        <v>1769</v>
      </c>
      <c r="G496" s="295" t="s">
        <v>1565</v>
      </c>
      <c r="H496" s="295" t="s">
        <v>1565</v>
      </c>
      <c r="I496" s="297">
        <v>43531.719907407409</v>
      </c>
      <c r="J496" s="297">
        <v>43564</v>
      </c>
      <c r="K496" s="297">
        <v>44294</v>
      </c>
      <c r="L496" s="297">
        <v>43495</v>
      </c>
      <c r="M496" s="298" t="s">
        <v>2399</v>
      </c>
      <c r="N496" s="296" t="str">
        <f>"Guinee,Kindia,Coyah,Kouria"</f>
        <v>Guinee,Kindia,Coyah,Kouria</v>
      </c>
    </row>
    <row r="497" spans="2:14" ht="27" x14ac:dyDescent="0.15">
      <c r="B497" s="295" t="str">
        <f>"22590"</f>
        <v>22590</v>
      </c>
      <c r="C497" s="295" t="str">
        <f>"A2019/1156/MMG"</f>
        <v>A2019/1156/MMG</v>
      </c>
      <c r="D497" s="296" t="s">
        <v>364</v>
      </c>
      <c r="E497" s="295" t="s">
        <v>78</v>
      </c>
      <c r="F497" s="295" t="s">
        <v>1769</v>
      </c>
      <c r="G497" s="295" t="s">
        <v>1565</v>
      </c>
      <c r="H497" s="295" t="s">
        <v>1565</v>
      </c>
      <c r="I497" s="297">
        <v>43549.684328703705</v>
      </c>
      <c r="J497" s="297">
        <v>43564</v>
      </c>
      <c r="K497" s="297">
        <v>45036</v>
      </c>
      <c r="L497" s="297">
        <v>43439</v>
      </c>
      <c r="M497" s="298" t="s">
        <v>2400</v>
      </c>
      <c r="N497" s="296" t="str">
        <f>"Guinee,Kindia,Dubreka,Khorira"</f>
        <v>Guinee,Kindia,Dubreka,Khorira</v>
      </c>
    </row>
    <row r="498" spans="2:14" ht="27" x14ac:dyDescent="0.15">
      <c r="B498" s="295" t="str">
        <f>"22589"</f>
        <v>22589</v>
      </c>
      <c r="C498" s="295" t="str">
        <f>"A2019/1155/MMG"</f>
        <v>A2019/1155/MMG</v>
      </c>
      <c r="D498" s="296" t="s">
        <v>2401</v>
      </c>
      <c r="E498" s="295" t="s">
        <v>78</v>
      </c>
      <c r="F498" s="295" t="s">
        <v>1781</v>
      </c>
      <c r="G498" s="295" t="s">
        <v>1565</v>
      </c>
      <c r="H498" s="295" t="s">
        <v>1678</v>
      </c>
      <c r="I498" s="297">
        <v>43545.653958333336</v>
      </c>
      <c r="J498" s="297">
        <v>43564</v>
      </c>
      <c r="K498" s="297">
        <v>44294</v>
      </c>
      <c r="L498" s="297">
        <v>43496</v>
      </c>
      <c r="M498" s="298" t="s">
        <v>2402</v>
      </c>
      <c r="N498" s="296" t="str">
        <f>"Guinee,Labe,Labe,Kaalan"</f>
        <v>Guinee,Labe,Labe,Kaalan</v>
      </c>
    </row>
    <row r="499" spans="2:14" ht="18.75" x14ac:dyDescent="0.15">
      <c r="B499" s="295" t="str">
        <f>"18105"</f>
        <v>18105</v>
      </c>
      <c r="C499" s="295" t="str">
        <f>"A2019/1153/MMG/SGG"</f>
        <v>A2019/1153/MMG/SGG</v>
      </c>
      <c r="D499" s="296" t="s">
        <v>2403</v>
      </c>
      <c r="E499" s="295" t="s">
        <v>154</v>
      </c>
      <c r="F499" s="295" t="s">
        <v>644</v>
      </c>
      <c r="G499" s="295" t="s">
        <v>1565</v>
      </c>
      <c r="H499" s="295" t="s">
        <v>1565</v>
      </c>
      <c r="I499" s="297"/>
      <c r="J499" s="297">
        <v>42304</v>
      </c>
      <c r="K499" s="297">
        <v>44295</v>
      </c>
      <c r="L499" s="297">
        <v>42136</v>
      </c>
      <c r="M499" s="298" t="s">
        <v>2404</v>
      </c>
      <c r="N499" s="296" t="str">
        <f>"Guinee,Kankan,Kankan,Missamana, Tinti-Oulen"</f>
        <v>Guinee,Kankan,Kankan,Missamana, Tinti-Oulen</v>
      </c>
    </row>
    <row r="500" spans="2:14" ht="18.75" x14ac:dyDescent="0.15">
      <c r="B500" s="295" t="str">
        <f>"18104"</f>
        <v>18104</v>
      </c>
      <c r="C500" s="295" t="str">
        <f>"A2019/1152/MMG"</f>
        <v>A2019/1152/MMG</v>
      </c>
      <c r="D500" s="296" t="s">
        <v>2403</v>
      </c>
      <c r="E500" s="295" t="s">
        <v>154</v>
      </c>
      <c r="F500" s="295" t="s">
        <v>644</v>
      </c>
      <c r="G500" s="295" t="s">
        <v>1565</v>
      </c>
      <c r="H500" s="295" t="s">
        <v>1565</v>
      </c>
      <c r="I500" s="297"/>
      <c r="J500" s="297">
        <v>42304</v>
      </c>
      <c r="K500" s="297">
        <v>44295</v>
      </c>
      <c r="L500" s="297">
        <v>42136</v>
      </c>
      <c r="M500" s="298" t="s">
        <v>2405</v>
      </c>
      <c r="N500" s="296" t="str">
        <f>"Guinee,Kankan,Kankan,Missamana"</f>
        <v>Guinee,Kankan,Kankan,Missamana</v>
      </c>
    </row>
    <row r="501" spans="2:14" ht="27" x14ac:dyDescent="0.15">
      <c r="B501" s="295" t="str">
        <f>"22543"</f>
        <v>22543</v>
      </c>
      <c r="C501" s="295" t="str">
        <f>"A2019/094/MMG/SGG"</f>
        <v>A2019/094/MMG/SGG</v>
      </c>
      <c r="D501" s="296" t="s">
        <v>2406</v>
      </c>
      <c r="E501" s="295" t="s">
        <v>78</v>
      </c>
      <c r="F501" s="295" t="s">
        <v>1769</v>
      </c>
      <c r="G501" s="295" t="s">
        <v>1565</v>
      </c>
      <c r="H501" s="295" t="s">
        <v>1678</v>
      </c>
      <c r="I501" s="297">
        <v>43467.578344907408</v>
      </c>
      <c r="J501" s="297">
        <v>43496</v>
      </c>
      <c r="K501" s="297">
        <v>44226</v>
      </c>
      <c r="L501" s="297">
        <v>43411</v>
      </c>
      <c r="M501" s="298" t="s">
        <v>2407</v>
      </c>
      <c r="N501" s="296" t="str">
        <f>"Guinee,Kindia,Dubreka,Khorira"</f>
        <v>Guinee,Kindia,Dubreka,Khorira</v>
      </c>
    </row>
    <row r="502" spans="2:14" ht="27" x14ac:dyDescent="0.15">
      <c r="B502" s="295" t="str">
        <f>"22541"</f>
        <v>22541</v>
      </c>
      <c r="C502" s="295" t="str">
        <f>"A2019/091/MMG/SGG"</f>
        <v>A2019/091/MMG/SGG</v>
      </c>
      <c r="D502" s="296" t="s">
        <v>2408</v>
      </c>
      <c r="E502" s="295" t="s">
        <v>154</v>
      </c>
      <c r="F502" s="295" t="s">
        <v>644</v>
      </c>
      <c r="G502" s="295" t="s">
        <v>1565</v>
      </c>
      <c r="H502" s="295" t="s">
        <v>1565</v>
      </c>
      <c r="I502" s="297">
        <v>43458.527939814812</v>
      </c>
      <c r="J502" s="297">
        <v>43496</v>
      </c>
      <c r="K502" s="297">
        <v>44591</v>
      </c>
      <c r="L502" s="297">
        <v>43437</v>
      </c>
      <c r="M502" s="298" t="s">
        <v>2409</v>
      </c>
      <c r="N502" s="296" t="str">
        <f>"Guinee,Kankan,Mandiana,Koundianakoro, Morodou"</f>
        <v>Guinee,Kankan,Mandiana,Koundianakoro, Morodou</v>
      </c>
    </row>
    <row r="503" spans="2:14" ht="27" x14ac:dyDescent="0.15">
      <c r="B503" s="295" t="str">
        <f>"20282"</f>
        <v>20282</v>
      </c>
      <c r="C503" s="295" t="str">
        <f>"A2018/8351/MMG/SGG"</f>
        <v>A2018/8351/MMG/SGG</v>
      </c>
      <c r="D503" s="296" t="s">
        <v>2410</v>
      </c>
      <c r="E503" s="295" t="s">
        <v>254</v>
      </c>
      <c r="F503" s="295" t="s">
        <v>1568</v>
      </c>
      <c r="G503" s="295" t="s">
        <v>1565</v>
      </c>
      <c r="H503" s="295" t="s">
        <v>2411</v>
      </c>
      <c r="I503" s="297"/>
      <c r="J503" s="297">
        <v>42355</v>
      </c>
      <c r="K503" s="297">
        <v>44196</v>
      </c>
      <c r="L503" s="297">
        <v>42244</v>
      </c>
      <c r="M503" s="298" t="s">
        <v>2412</v>
      </c>
      <c r="N503" s="296" t="str">
        <f>"Guinee,Boke,Boke,Dabiss, Kanfarandé, Tanéné"</f>
        <v>Guinee,Boke,Boke,Dabiss, Kanfarandé, Tanéné</v>
      </c>
    </row>
    <row r="504" spans="2:14" ht="27" x14ac:dyDescent="0.15">
      <c r="B504" s="295" t="str">
        <f>"22532"</f>
        <v>22532</v>
      </c>
      <c r="C504" s="295" t="str">
        <f>"A2018/8342/MMG/SGG"</f>
        <v>A2018/8342/MMG/SGG</v>
      </c>
      <c r="D504" s="296" t="s">
        <v>2210</v>
      </c>
      <c r="E504" s="295" t="s">
        <v>254</v>
      </c>
      <c r="F504" s="295" t="s">
        <v>1568</v>
      </c>
      <c r="G504" s="295" t="s">
        <v>1565</v>
      </c>
      <c r="H504" s="295" t="s">
        <v>1873</v>
      </c>
      <c r="I504" s="297">
        <v>43446.489560185182</v>
      </c>
      <c r="J504" s="297">
        <v>43465</v>
      </c>
      <c r="K504" s="297">
        <v>44560</v>
      </c>
      <c r="L504" s="297">
        <v>43434</v>
      </c>
      <c r="M504" s="298" t="s">
        <v>2413</v>
      </c>
      <c r="N504" s="296" t="str">
        <f>"Guinee,Boke,Gaoual,Malanta; Labe,Labe,Diari; Lelouma,Balaya, Diontou, Korbé, Lélouma-centre, Manda, Parawol, Tianguel-Bori"</f>
        <v>Guinee,Boke,Gaoual,Malanta; Labe,Labe,Diari; Lelouma,Balaya, Diontou, Korbé, Lélouma-centre, Manda, Parawol, Tianguel-Bori</v>
      </c>
    </row>
    <row r="505" spans="2:14" ht="27" x14ac:dyDescent="0.15">
      <c r="B505" s="295" t="str">
        <f>"22535"</f>
        <v>22535</v>
      </c>
      <c r="C505" s="295" t="str">
        <f>"A2018/8341/MMG"</f>
        <v>A2018/8341/MMG</v>
      </c>
      <c r="D505" s="296" t="s">
        <v>2414</v>
      </c>
      <c r="E505" s="295" t="s">
        <v>154</v>
      </c>
      <c r="F505" s="295" t="s">
        <v>644</v>
      </c>
      <c r="G505" s="295" t="s">
        <v>1565</v>
      </c>
      <c r="H505" s="295" t="s">
        <v>1565</v>
      </c>
      <c r="I505" s="297">
        <v>43453.39502314815</v>
      </c>
      <c r="J505" s="297">
        <v>43465</v>
      </c>
      <c r="K505" s="297">
        <v>44560</v>
      </c>
      <c r="L505" s="297">
        <v>43425</v>
      </c>
      <c r="M505" s="298" t="s">
        <v>2415</v>
      </c>
      <c r="N505" s="296" t="str">
        <f>"Guinee,Faranah,Faranah,Maréla, Sandenia"</f>
        <v>Guinee,Faranah,Faranah,Maréla, Sandenia</v>
      </c>
    </row>
    <row r="506" spans="2:14" ht="27" x14ac:dyDescent="0.15">
      <c r="B506" s="295" t="str">
        <f>"20129"</f>
        <v>20129</v>
      </c>
      <c r="C506" s="295" t="str">
        <f>"A2018/8279/MMG/SGG"</f>
        <v>A2018/8279/MMG/SGG</v>
      </c>
      <c r="D506" s="296" t="s">
        <v>2416</v>
      </c>
      <c r="E506" s="295" t="s">
        <v>154</v>
      </c>
      <c r="F506" s="295" t="s">
        <v>644</v>
      </c>
      <c r="G506" s="295" t="s">
        <v>1565</v>
      </c>
      <c r="H506" s="295" t="s">
        <v>1678</v>
      </c>
      <c r="I506" s="297">
        <v>42026.615902777776</v>
      </c>
      <c r="J506" s="297">
        <v>42355</v>
      </c>
      <c r="K506" s="297">
        <v>44189</v>
      </c>
      <c r="L506" s="297">
        <v>42214</v>
      </c>
      <c r="M506" s="298" t="s">
        <v>2417</v>
      </c>
      <c r="N506" s="296" t="str">
        <f>"Guinee,Kankan,Mandiana,Dialokoro"</f>
        <v>Guinee,Kankan,Mandiana,Dialokoro</v>
      </c>
    </row>
    <row r="507" spans="2:14" ht="27" x14ac:dyDescent="0.15">
      <c r="B507" s="295" t="str">
        <f>"19833"</f>
        <v>19833</v>
      </c>
      <c r="C507" s="295" t="str">
        <f>"A2018/8212/MMG/SGG "</f>
        <v xml:space="preserve">A2018/8212/MMG/SGG </v>
      </c>
      <c r="D507" s="296" t="s">
        <v>2418</v>
      </c>
      <c r="E507" s="295" t="s">
        <v>254</v>
      </c>
      <c r="F507" s="295" t="s">
        <v>1568</v>
      </c>
      <c r="G507" s="295" t="s">
        <v>1565</v>
      </c>
      <c r="H507" s="295" t="s">
        <v>1678</v>
      </c>
      <c r="I507" s="297"/>
      <c r="J507" s="297">
        <v>42355</v>
      </c>
      <c r="K507" s="297">
        <v>44179</v>
      </c>
      <c r="L507" s="297">
        <v>42024</v>
      </c>
      <c r="M507" s="298" t="s">
        <v>2419</v>
      </c>
      <c r="N507" s="296" t="str">
        <f>"Guinee,Boke,Gaoual,Koumbia"</f>
        <v>Guinee,Boke,Gaoual,Koumbia</v>
      </c>
    </row>
    <row r="508" spans="2:14" ht="18.75" x14ac:dyDescent="0.15">
      <c r="B508" s="295" t="str">
        <f>"22516"</f>
        <v>22516</v>
      </c>
      <c r="C508" s="295" t="str">
        <f>"A2018/8153/MMG/SGG"</f>
        <v>A2018/8153/MMG/SGG</v>
      </c>
      <c r="D508" s="296" t="s">
        <v>2420</v>
      </c>
      <c r="E508" s="295" t="s">
        <v>254</v>
      </c>
      <c r="F508" s="295" t="s">
        <v>1568</v>
      </c>
      <c r="G508" s="295" t="s">
        <v>1565</v>
      </c>
      <c r="H508" s="295" t="s">
        <v>1565</v>
      </c>
      <c r="I508" s="297">
        <v>43431.325092592589</v>
      </c>
      <c r="J508" s="297">
        <v>43441</v>
      </c>
      <c r="K508" s="297">
        <v>44536</v>
      </c>
      <c r="L508" s="297">
        <v>43377</v>
      </c>
      <c r="M508" s="298" t="s">
        <v>2421</v>
      </c>
      <c r="N508" s="296" t="str">
        <f>"Guinee,Boke,Gaoual,Foulamory, Koumbia"</f>
        <v>Guinee,Boke,Gaoual,Foulamory, Koumbia</v>
      </c>
    </row>
    <row r="509" spans="2:14" ht="18.75" x14ac:dyDescent="0.15">
      <c r="B509" s="295" t="str">
        <f>"22519"</f>
        <v>22519</v>
      </c>
      <c r="C509" s="295" t="str">
        <f>"A2018/8152/MMG/SGG"</f>
        <v>A2018/8152/MMG/SGG</v>
      </c>
      <c r="D509" s="296" t="s">
        <v>2422</v>
      </c>
      <c r="E509" s="295" t="s">
        <v>154</v>
      </c>
      <c r="F509" s="295" t="s">
        <v>644</v>
      </c>
      <c r="G509" s="295" t="s">
        <v>1565</v>
      </c>
      <c r="H509" s="295" t="s">
        <v>1565</v>
      </c>
      <c r="I509" s="297">
        <v>43433.642256944448</v>
      </c>
      <c r="J509" s="297">
        <v>43441</v>
      </c>
      <c r="K509" s="297">
        <v>44536</v>
      </c>
      <c r="L509" s="297">
        <v>43420</v>
      </c>
      <c r="M509" s="298" t="s">
        <v>2423</v>
      </c>
      <c r="N509" s="296" t="str">
        <f>"Guinee,Kankan,Siguiri,Bankon"</f>
        <v>Guinee,Kankan,Siguiri,Bankon</v>
      </c>
    </row>
    <row r="510" spans="2:14" ht="27" x14ac:dyDescent="0.15">
      <c r="B510" s="295" t="str">
        <f>"22520"</f>
        <v>22520</v>
      </c>
      <c r="C510" s="295" t="str">
        <f>"A2018/8151/MMG/SGG"</f>
        <v>A2018/8151/MMG/SGG</v>
      </c>
      <c r="D510" s="296" t="s">
        <v>2424</v>
      </c>
      <c r="E510" s="295" t="s">
        <v>254</v>
      </c>
      <c r="F510" s="295" t="s">
        <v>1568</v>
      </c>
      <c r="G510" s="295" t="s">
        <v>1565</v>
      </c>
      <c r="H510" s="295" t="s">
        <v>1873</v>
      </c>
      <c r="I510" s="297">
        <v>43433.69462962963</v>
      </c>
      <c r="J510" s="297">
        <v>43441</v>
      </c>
      <c r="K510" s="297">
        <v>44536</v>
      </c>
      <c r="L510" s="297">
        <v>43403</v>
      </c>
      <c r="M510" s="298" t="s">
        <v>2425</v>
      </c>
      <c r="N510" s="296" t="str">
        <f>"Guinee,Kindia,Kindia,Madina-Oula, Souguéta; Mamou,Mamou,Soyah"</f>
        <v>Guinee,Kindia,Kindia,Madina-Oula, Souguéta; Mamou,Mamou,Soyah</v>
      </c>
    </row>
    <row r="511" spans="2:14" ht="18.75" x14ac:dyDescent="0.15">
      <c r="B511" s="295" t="str">
        <f>"22518"</f>
        <v>22518</v>
      </c>
      <c r="C511" s="295" t="str">
        <f>"A2018/8131"</f>
        <v>A2018/8131</v>
      </c>
      <c r="D511" s="296" t="s">
        <v>2426</v>
      </c>
      <c r="E511" s="295" t="s">
        <v>254</v>
      </c>
      <c r="F511" s="295" t="s">
        <v>1568</v>
      </c>
      <c r="G511" s="295" t="s">
        <v>1565</v>
      </c>
      <c r="H511" s="295" t="s">
        <v>1565</v>
      </c>
      <c r="I511" s="297">
        <v>43433.439629629633</v>
      </c>
      <c r="J511" s="297">
        <v>43438</v>
      </c>
      <c r="K511" s="297">
        <v>44533</v>
      </c>
      <c r="L511" s="297">
        <v>43419</v>
      </c>
      <c r="M511" s="298" t="s">
        <v>2427</v>
      </c>
      <c r="N511" s="296" t="str">
        <f>"Guinee,Kindia,Kindia,Kindia-centre, Kolenté, Madina-Oula, Molota"</f>
        <v>Guinee,Kindia,Kindia,Kindia-centre, Kolenté, Madina-Oula, Molota</v>
      </c>
    </row>
    <row r="512" spans="2:14" ht="18.75" x14ac:dyDescent="0.15">
      <c r="B512" s="295" t="str">
        <f>"22502"</f>
        <v>22502</v>
      </c>
      <c r="C512" s="295" t="str">
        <f>"A2018/8090/MMG/SGG"</f>
        <v>A2018/8090/MMG/SGG</v>
      </c>
      <c r="D512" s="296" t="s">
        <v>2428</v>
      </c>
      <c r="E512" s="295" t="s">
        <v>154</v>
      </c>
      <c r="F512" s="295" t="s">
        <v>644</v>
      </c>
      <c r="G512" s="295" t="s">
        <v>1565</v>
      </c>
      <c r="H512" s="295" t="s">
        <v>1565</v>
      </c>
      <c r="I512" s="297">
        <v>43418.522488425922</v>
      </c>
      <c r="J512" s="297">
        <v>43434</v>
      </c>
      <c r="K512" s="297">
        <v>44529</v>
      </c>
      <c r="L512" s="297">
        <v>43409</v>
      </c>
      <c r="M512" s="298" t="s">
        <v>2429</v>
      </c>
      <c r="N512" s="296" t="str">
        <f>"Guinee,Faranah,Faranah,Maréla; Mamou,Mamou,Ouré-Kaba"</f>
        <v>Guinee,Faranah,Faranah,Maréla; Mamou,Mamou,Ouré-Kaba</v>
      </c>
    </row>
    <row r="513" spans="2:14" ht="18.75" x14ac:dyDescent="0.15">
      <c r="B513" s="295" t="str">
        <f>"22371"</f>
        <v>22371</v>
      </c>
      <c r="C513" s="295" t="str">
        <f>"A2018/8089/MMG/SGG"</f>
        <v>A2018/8089/MMG/SGG</v>
      </c>
      <c r="D513" s="296" t="s">
        <v>2430</v>
      </c>
      <c r="E513" s="295" t="s">
        <v>154</v>
      </c>
      <c r="F513" s="295" t="s">
        <v>644</v>
      </c>
      <c r="G513" s="295" t="s">
        <v>1565</v>
      </c>
      <c r="H513" s="295" t="s">
        <v>1565</v>
      </c>
      <c r="I513" s="297">
        <v>43244.43886574074</v>
      </c>
      <c r="J513" s="297">
        <v>43434</v>
      </c>
      <c r="K513" s="297">
        <v>44529</v>
      </c>
      <c r="L513" s="297">
        <v>43145</v>
      </c>
      <c r="M513" s="298" t="s">
        <v>2431</v>
      </c>
      <c r="N513" s="296" t="str">
        <f>"Guinee,Kankan,Kankan,Missamana, Tinti-Oulen"</f>
        <v>Guinee,Kankan,Kankan,Missamana, Tinti-Oulen</v>
      </c>
    </row>
    <row r="514" spans="2:14" ht="18.75" x14ac:dyDescent="0.15">
      <c r="B514" s="295" t="str">
        <f>"22510"</f>
        <v>22510</v>
      </c>
      <c r="C514" s="295" t="str">
        <f>"A2018/8088/MMG/SGG"</f>
        <v>A2018/8088/MMG/SGG</v>
      </c>
      <c r="D514" s="296" t="s">
        <v>2432</v>
      </c>
      <c r="E514" s="295" t="s">
        <v>254</v>
      </c>
      <c r="F514" s="295" t="s">
        <v>1568</v>
      </c>
      <c r="G514" s="295" t="s">
        <v>1565</v>
      </c>
      <c r="H514" s="295" t="s">
        <v>1565</v>
      </c>
      <c r="I514" s="297">
        <v>43427.439710648148</v>
      </c>
      <c r="J514" s="297">
        <v>43464</v>
      </c>
      <c r="K514" s="297">
        <v>44559</v>
      </c>
      <c r="L514" s="297">
        <v>43426</v>
      </c>
      <c r="M514" s="298" t="s">
        <v>2433</v>
      </c>
      <c r="N514" s="296" t="str">
        <f>"Guinee,Boke,Gaoual,Foulamory, Koumbia"</f>
        <v>Guinee,Boke,Gaoual,Foulamory, Koumbia</v>
      </c>
    </row>
    <row r="515" spans="2:14" ht="27" x14ac:dyDescent="0.15">
      <c r="B515" s="295" t="str">
        <f>"22461"</f>
        <v>22461</v>
      </c>
      <c r="C515" s="295" t="str">
        <f>"A2018/7966/MMG/SGG"</f>
        <v>A2018/7966/MMG/SGG</v>
      </c>
      <c r="D515" s="296" t="s">
        <v>2434</v>
      </c>
      <c r="E515" s="295" t="s">
        <v>78</v>
      </c>
      <c r="F515" s="295" t="s">
        <v>1769</v>
      </c>
      <c r="G515" s="295" t="s">
        <v>1565</v>
      </c>
      <c r="H515" s="295" t="s">
        <v>1678</v>
      </c>
      <c r="I515" s="297">
        <v>43368.519432870373</v>
      </c>
      <c r="J515" s="297">
        <v>43427</v>
      </c>
      <c r="K515" s="297">
        <v>44157</v>
      </c>
      <c r="L515" s="297">
        <v>43311</v>
      </c>
      <c r="M515" s="298" t="s">
        <v>2435</v>
      </c>
      <c r="N515" s="296" t="str">
        <f>"Guinee,Kindia,Coyah,Manéah"</f>
        <v>Guinee,Kindia,Coyah,Manéah</v>
      </c>
    </row>
    <row r="516" spans="2:14" ht="27" x14ac:dyDescent="0.15">
      <c r="B516" s="295" t="str">
        <f>"22495"</f>
        <v>22495</v>
      </c>
      <c r="C516" s="295" t="str">
        <f>"A2018/7965/MMG/SGG"</f>
        <v>A2018/7965/MMG/SGG</v>
      </c>
      <c r="D516" s="296" t="s">
        <v>2436</v>
      </c>
      <c r="E516" s="295" t="s">
        <v>1869</v>
      </c>
      <c r="F516" s="295" t="s">
        <v>2437</v>
      </c>
      <c r="G516" s="295" t="s">
        <v>1565</v>
      </c>
      <c r="H516" s="295" t="s">
        <v>1678</v>
      </c>
      <c r="I516" s="297">
        <v>43411.601666666669</v>
      </c>
      <c r="J516" s="297">
        <v>43427</v>
      </c>
      <c r="K516" s="297">
        <v>44522</v>
      </c>
      <c r="L516" s="297">
        <v>43321</v>
      </c>
      <c r="M516" s="298" t="s">
        <v>2438</v>
      </c>
      <c r="N516" s="296" t="str">
        <f>"Guinee,Mamou,Mamou,Ouré-Kaba"</f>
        <v>Guinee,Mamou,Mamou,Ouré-Kaba</v>
      </c>
    </row>
    <row r="517" spans="2:14" ht="27" x14ac:dyDescent="0.15">
      <c r="B517" s="295" t="str">
        <f>"22494"</f>
        <v>22494</v>
      </c>
      <c r="C517" s="295" t="str">
        <f>"A2018/7964/MMG/SGG"</f>
        <v>A2018/7964/MMG/SGG</v>
      </c>
      <c r="D517" s="296" t="s">
        <v>2436</v>
      </c>
      <c r="E517" s="295" t="s">
        <v>1869</v>
      </c>
      <c r="F517" s="295" t="s">
        <v>2439</v>
      </c>
      <c r="G517" s="295" t="s">
        <v>1565</v>
      </c>
      <c r="H517" s="295" t="s">
        <v>1678</v>
      </c>
      <c r="I517" s="297">
        <v>43411.587060185186</v>
      </c>
      <c r="J517" s="297">
        <v>43427</v>
      </c>
      <c r="K517" s="297">
        <v>44522</v>
      </c>
      <c r="L517" s="297">
        <v>43321</v>
      </c>
      <c r="M517" s="298" t="s">
        <v>2440</v>
      </c>
      <c r="N517" s="296" t="str">
        <f>"Guinee,Faranah,Faranah,Maréla"</f>
        <v>Guinee,Faranah,Faranah,Maréla</v>
      </c>
    </row>
    <row r="518" spans="2:14" ht="27" x14ac:dyDescent="0.15">
      <c r="B518" s="295" t="str">
        <f>"22493"</f>
        <v>22493</v>
      </c>
      <c r="C518" s="295" t="str">
        <f>"A2018/7963/MMG/SGG"</f>
        <v>A2018/7963/MMG/SGG</v>
      </c>
      <c r="D518" s="296" t="s">
        <v>2436</v>
      </c>
      <c r="E518" s="295" t="s">
        <v>1869</v>
      </c>
      <c r="F518" s="295" t="s">
        <v>2441</v>
      </c>
      <c r="G518" s="295" t="s">
        <v>1565</v>
      </c>
      <c r="H518" s="295" t="s">
        <v>1678</v>
      </c>
      <c r="I518" s="297">
        <v>43411.551249999997</v>
      </c>
      <c r="J518" s="297">
        <v>43427</v>
      </c>
      <c r="K518" s="297">
        <v>44522</v>
      </c>
      <c r="L518" s="297">
        <v>43321</v>
      </c>
      <c r="M518" s="298" t="s">
        <v>2442</v>
      </c>
      <c r="N518" s="296" t="str">
        <f>"Guinee,Faranah,Faranah,Maréla, Passaya"</f>
        <v>Guinee,Faranah,Faranah,Maréla, Passaya</v>
      </c>
    </row>
    <row r="519" spans="2:14" x14ac:dyDescent="0.15">
      <c r="B519" s="295" t="str">
        <f>"22220"</f>
        <v>22220</v>
      </c>
      <c r="C519" s="295" t="str">
        <f>"A2018/7862/MMG/SGG"</f>
        <v>A2018/7862/MMG/SGG</v>
      </c>
      <c r="D519" s="296" t="s">
        <v>2330</v>
      </c>
      <c r="E519" s="295" t="s">
        <v>1773</v>
      </c>
      <c r="F519" s="295" t="s">
        <v>1769</v>
      </c>
      <c r="G519" s="295" t="s">
        <v>1565</v>
      </c>
      <c r="H519" s="295" t="s">
        <v>1565</v>
      </c>
      <c r="I519" s="297">
        <v>42989.698761574073</v>
      </c>
      <c r="J519" s="297">
        <v>43420</v>
      </c>
      <c r="K519" s="297">
        <v>44150</v>
      </c>
      <c r="L519" s="297">
        <v>42976</v>
      </c>
      <c r="M519" s="298" t="s">
        <v>2443</v>
      </c>
      <c r="N519" s="296" t="str">
        <f>"Guinee,Kindia,Dubreka,Khorira"</f>
        <v>Guinee,Kindia,Dubreka,Khorira</v>
      </c>
    </row>
    <row r="520" spans="2:14" ht="27" x14ac:dyDescent="0.15">
      <c r="B520" s="295" t="str">
        <f>"22488"</f>
        <v>22488</v>
      </c>
      <c r="C520" s="295" t="str">
        <f>"A2018/7860/MMG/SGG"</f>
        <v>A2018/7860/MMG/SGG</v>
      </c>
      <c r="D520" s="296" t="s">
        <v>2444</v>
      </c>
      <c r="E520" s="295" t="s">
        <v>78</v>
      </c>
      <c r="F520" s="295" t="s">
        <v>1781</v>
      </c>
      <c r="G520" s="295" t="s">
        <v>1565</v>
      </c>
      <c r="H520" s="295" t="s">
        <v>1565</v>
      </c>
      <c r="I520" s="297">
        <v>43396.642696759256</v>
      </c>
      <c r="J520" s="297">
        <v>43420</v>
      </c>
      <c r="K520" s="297">
        <v>44150</v>
      </c>
      <c r="L520" s="297">
        <v>43383</v>
      </c>
      <c r="M520" s="298" t="s">
        <v>2445</v>
      </c>
      <c r="N520" s="296" t="str">
        <f>"Guinee,Boke,Boke,Malapouyah"</f>
        <v>Guinee,Boke,Boke,Malapouyah</v>
      </c>
    </row>
    <row r="521" spans="2:14" ht="27" x14ac:dyDescent="0.15">
      <c r="B521" s="295" t="str">
        <f>"22489"</f>
        <v>22489</v>
      </c>
      <c r="C521" s="295" t="str">
        <f>"A2018/7859/MMG/SGG"</f>
        <v>A2018/7859/MMG/SGG</v>
      </c>
      <c r="D521" s="296" t="s">
        <v>2444</v>
      </c>
      <c r="E521" s="295" t="s">
        <v>78</v>
      </c>
      <c r="F521" s="295" t="s">
        <v>1781</v>
      </c>
      <c r="G521" s="295" t="s">
        <v>1565</v>
      </c>
      <c r="H521" s="295" t="s">
        <v>1678</v>
      </c>
      <c r="I521" s="297">
        <v>43396.670335648145</v>
      </c>
      <c r="J521" s="297">
        <v>43420</v>
      </c>
      <c r="K521" s="297">
        <v>44150</v>
      </c>
      <c r="L521" s="297">
        <v>43384</v>
      </c>
      <c r="M521" s="298" t="s">
        <v>2446</v>
      </c>
      <c r="N521" s="296" t="str">
        <f>"Guinee,Boke,Boke,Malapouyah"</f>
        <v>Guinee,Boke,Boke,Malapouyah</v>
      </c>
    </row>
    <row r="522" spans="2:14" ht="18.75" x14ac:dyDescent="0.15">
      <c r="B522" s="295" t="str">
        <f>"22341"</f>
        <v>22341</v>
      </c>
      <c r="C522" s="295" t="str">
        <f>"A2018/7858/MMG"</f>
        <v>A2018/7858/MMG</v>
      </c>
      <c r="D522" s="296" t="s">
        <v>2447</v>
      </c>
      <c r="E522" s="295" t="s">
        <v>154</v>
      </c>
      <c r="F522" s="295" t="s">
        <v>644</v>
      </c>
      <c r="G522" s="295" t="s">
        <v>1565</v>
      </c>
      <c r="H522" s="295" t="s">
        <v>1565</v>
      </c>
      <c r="I522" s="297">
        <v>43201.538738425923</v>
      </c>
      <c r="J522" s="297">
        <v>43420</v>
      </c>
      <c r="K522" s="297">
        <v>44515</v>
      </c>
      <c r="L522" s="297">
        <v>43132</v>
      </c>
      <c r="M522" s="298" t="s">
        <v>2448</v>
      </c>
      <c r="N522" s="296" t="str">
        <f>"Guinee,Faranah,Dinguiraye,Banora"</f>
        <v>Guinee,Faranah,Dinguiraye,Banora</v>
      </c>
    </row>
    <row r="523" spans="2:14" ht="27" x14ac:dyDescent="0.15">
      <c r="B523" s="295" t="str">
        <f>"22472"</f>
        <v>22472</v>
      </c>
      <c r="C523" s="295" t="str">
        <f>"A2018/7857/MMG/SGG"</f>
        <v>A2018/7857/MMG/SGG</v>
      </c>
      <c r="D523" s="296" t="s">
        <v>2449</v>
      </c>
      <c r="E523" s="295" t="s">
        <v>154</v>
      </c>
      <c r="F523" s="295" t="s">
        <v>644</v>
      </c>
      <c r="G523" s="295" t="s">
        <v>1565</v>
      </c>
      <c r="H523" s="295" t="s">
        <v>1678</v>
      </c>
      <c r="I523" s="297">
        <v>43383.54347222222</v>
      </c>
      <c r="J523" s="297">
        <v>43420</v>
      </c>
      <c r="K523" s="297">
        <v>44515</v>
      </c>
      <c r="L523" s="297">
        <v>43328</v>
      </c>
      <c r="M523" s="298" t="s">
        <v>2450</v>
      </c>
      <c r="N523" s="296" t="str">
        <f>"Guinee,Kankan,Siguiri,Kintinian, Maléa"</f>
        <v>Guinee,Kankan,Siguiri,Kintinian, Maléa</v>
      </c>
    </row>
    <row r="524" spans="2:14" ht="18.75" x14ac:dyDescent="0.15">
      <c r="B524" s="295" t="str">
        <f>"22491"</f>
        <v>22491</v>
      </c>
      <c r="C524" s="295" t="str">
        <f>"A2018/7851/MMG/SGG"</f>
        <v>A2018/7851/MMG/SGG</v>
      </c>
      <c r="D524" s="296" t="s">
        <v>1827</v>
      </c>
      <c r="E524" s="295" t="s">
        <v>154</v>
      </c>
      <c r="F524" s="295" t="s">
        <v>644</v>
      </c>
      <c r="G524" s="295" t="s">
        <v>1565</v>
      </c>
      <c r="H524" s="295" t="s">
        <v>1565</v>
      </c>
      <c r="I524" s="297">
        <v>43403.389027777775</v>
      </c>
      <c r="J524" s="297">
        <v>43418</v>
      </c>
      <c r="K524" s="297">
        <v>44513</v>
      </c>
      <c r="L524" s="297">
        <v>43381</v>
      </c>
      <c r="M524" s="298" t="s">
        <v>2451</v>
      </c>
      <c r="N524" s="296" t="str">
        <f>"Guinee,Faranah,Faranah,Maréla; Mamou,Mamou,Ouré-Kaba"</f>
        <v>Guinee,Faranah,Faranah,Maréla; Mamou,Mamou,Ouré-Kaba</v>
      </c>
    </row>
    <row r="525" spans="2:14" ht="27" x14ac:dyDescent="0.15">
      <c r="B525" s="295" t="str">
        <f>"22492"</f>
        <v>22492</v>
      </c>
      <c r="C525" s="295" t="str">
        <f>"A2018/7850/MMG/SGG"</f>
        <v>A2018/7850/MMG/SGG</v>
      </c>
      <c r="D525" s="296" t="s">
        <v>2452</v>
      </c>
      <c r="E525" s="295" t="s">
        <v>154</v>
      </c>
      <c r="F525" s="295" t="s">
        <v>644</v>
      </c>
      <c r="G525" s="295" t="s">
        <v>1565</v>
      </c>
      <c r="H525" s="295" t="s">
        <v>1678</v>
      </c>
      <c r="I525" s="297">
        <v>43403.413611111115</v>
      </c>
      <c r="J525" s="297">
        <v>43419</v>
      </c>
      <c r="K525" s="297">
        <v>44514</v>
      </c>
      <c r="L525" s="297">
        <v>43381</v>
      </c>
      <c r="M525" s="298" t="s">
        <v>2453</v>
      </c>
      <c r="N525" s="296" t="str">
        <f>"Guinee,Mamou,Mamou,Ouré-Kaba"</f>
        <v>Guinee,Mamou,Mamou,Ouré-Kaba</v>
      </c>
    </row>
    <row r="526" spans="2:14" x14ac:dyDescent="0.15">
      <c r="B526" s="295" t="str">
        <f>"22477"</f>
        <v>22477</v>
      </c>
      <c r="C526" s="295" t="str">
        <f>"A2018/7629/MMG/SGG"</f>
        <v>A2018/7629/MMG/SGG</v>
      </c>
      <c r="D526" s="296" t="s">
        <v>2454</v>
      </c>
      <c r="E526" s="295" t="s">
        <v>78</v>
      </c>
      <c r="F526" s="295" t="s">
        <v>1781</v>
      </c>
      <c r="G526" s="295" t="s">
        <v>1565</v>
      </c>
      <c r="H526" s="295" t="s">
        <v>1565</v>
      </c>
      <c r="I526" s="297">
        <v>43385.536851851852</v>
      </c>
      <c r="J526" s="297">
        <v>43397</v>
      </c>
      <c r="K526" s="297">
        <v>44127</v>
      </c>
      <c r="L526" s="297">
        <v>43230</v>
      </c>
      <c r="M526" s="298" t="s">
        <v>2455</v>
      </c>
      <c r="N526" s="296" t="str">
        <f>"Guinee,Kindia,Kindia,Kolenté"</f>
        <v>Guinee,Kindia,Kindia,Kolenté</v>
      </c>
    </row>
    <row r="527" spans="2:14" ht="18.75" x14ac:dyDescent="0.15">
      <c r="B527" s="295" t="str">
        <f>"22471"</f>
        <v>22471</v>
      </c>
      <c r="C527" s="295" t="str">
        <f>"A2018/7628/MMG/SGG"</f>
        <v>A2018/7628/MMG/SGG</v>
      </c>
      <c r="D527" s="296" t="s">
        <v>2456</v>
      </c>
      <c r="E527" s="295" t="s">
        <v>154</v>
      </c>
      <c r="F527" s="295" t="s">
        <v>644</v>
      </c>
      <c r="G527" s="295" t="s">
        <v>1565</v>
      </c>
      <c r="H527" s="295" t="s">
        <v>1873</v>
      </c>
      <c r="I527" s="297">
        <v>43383.457395833335</v>
      </c>
      <c r="J527" s="297">
        <v>43397</v>
      </c>
      <c r="K527" s="297">
        <v>44492</v>
      </c>
      <c r="L527" s="297">
        <v>43348</v>
      </c>
      <c r="M527" s="298" t="s">
        <v>2457</v>
      </c>
      <c r="N527" s="296" t="str">
        <f>"Guinee,Kankan,Kouroussa,Kouroussa-centre, Sanguiana"</f>
        <v>Guinee,Kankan,Kouroussa,Kouroussa-centre, Sanguiana</v>
      </c>
    </row>
    <row r="528" spans="2:14" x14ac:dyDescent="0.15">
      <c r="B528" s="295" t="str">
        <f>"22457"</f>
        <v>22457</v>
      </c>
      <c r="C528" s="295" t="str">
        <f>"A2018/7598/MMG/SGG"</f>
        <v>A2018/7598/MMG/SGG</v>
      </c>
      <c r="D528" s="296" t="s">
        <v>2458</v>
      </c>
      <c r="E528" s="295" t="s">
        <v>78</v>
      </c>
      <c r="F528" s="295" t="s">
        <v>1781</v>
      </c>
      <c r="G528" s="295" t="s">
        <v>1565</v>
      </c>
      <c r="H528" s="295" t="s">
        <v>1565</v>
      </c>
      <c r="I528" s="297">
        <v>43363.584143518521</v>
      </c>
      <c r="J528" s="297">
        <v>43392</v>
      </c>
      <c r="K528" s="297">
        <v>44122</v>
      </c>
      <c r="L528" s="297">
        <v>43311</v>
      </c>
      <c r="M528" s="298" t="s">
        <v>2459</v>
      </c>
      <c r="N528" s="296" t="str">
        <f>"Guinee,Boke,Boffa,Tamita"</f>
        <v>Guinee,Boke,Boffa,Tamita</v>
      </c>
    </row>
    <row r="529" spans="2:14" ht="27" x14ac:dyDescent="0.15">
      <c r="B529" s="295" t="str">
        <f>"22325"</f>
        <v>22325</v>
      </c>
      <c r="C529" s="295" t="str">
        <f>"A2018/6501/MMG/SGG"</f>
        <v>A2018/6501/MMG/SGG</v>
      </c>
      <c r="D529" s="296" t="s">
        <v>2460</v>
      </c>
      <c r="E529" s="295" t="s">
        <v>154</v>
      </c>
      <c r="F529" s="295" t="s">
        <v>644</v>
      </c>
      <c r="G529" s="295" t="s">
        <v>1565</v>
      </c>
      <c r="H529" s="295" t="s">
        <v>1565</v>
      </c>
      <c r="I529" s="297">
        <v>43178.606759259259</v>
      </c>
      <c r="J529" s="297">
        <v>43374</v>
      </c>
      <c r="K529" s="297">
        <v>44469</v>
      </c>
      <c r="L529" s="297">
        <v>43089</v>
      </c>
      <c r="M529" s="298" t="s">
        <v>2461</v>
      </c>
      <c r="N529" s="296" t="str">
        <f>"Guinee,Kankan,Kankan,Gbérédou-Barana, Koumban; Kouroussa,Banfelé, Baro, Kiniéro"</f>
        <v>Guinee,Kankan,Kankan,Gbérédou-Barana, Koumban; Kouroussa,Banfelé, Baro, Kiniéro</v>
      </c>
    </row>
    <row r="530" spans="2:14" ht="27" x14ac:dyDescent="0.15">
      <c r="B530" s="295" t="str">
        <f>"22453"</f>
        <v>22453</v>
      </c>
      <c r="C530" s="295" t="str">
        <f>"A2018/6495/MMG/SGG"</f>
        <v>A2018/6495/MMG/SGG</v>
      </c>
      <c r="D530" s="296" t="s">
        <v>2462</v>
      </c>
      <c r="E530" s="295" t="s">
        <v>154</v>
      </c>
      <c r="F530" s="295" t="s">
        <v>644</v>
      </c>
      <c r="G530" s="295" t="s">
        <v>1565</v>
      </c>
      <c r="H530" s="295" t="s">
        <v>1565</v>
      </c>
      <c r="I530" s="297">
        <v>43353.559363425928</v>
      </c>
      <c r="J530" s="297">
        <v>43371</v>
      </c>
      <c r="K530" s="297">
        <v>44466</v>
      </c>
      <c r="L530" s="297">
        <v>43318</v>
      </c>
      <c r="M530" s="298" t="s">
        <v>2463</v>
      </c>
      <c r="N530" s="296" t="str">
        <f>"Guinee,Kankan,Siguiri,Norassoba"</f>
        <v>Guinee,Kankan,Siguiri,Norassoba</v>
      </c>
    </row>
    <row r="531" spans="2:14" ht="27" x14ac:dyDescent="0.15">
      <c r="B531" s="295" t="str">
        <f>"22443"</f>
        <v>22443</v>
      </c>
      <c r="C531" s="295" t="str">
        <f>"A2018/5740/MMG/SGG"</f>
        <v>A2018/5740/MMG/SGG</v>
      </c>
      <c r="D531" s="296" t="s">
        <v>1615</v>
      </c>
      <c r="E531" s="295" t="s">
        <v>154</v>
      </c>
      <c r="F531" s="295" t="s">
        <v>644</v>
      </c>
      <c r="G531" s="295" t="s">
        <v>1565</v>
      </c>
      <c r="H531" s="295" t="s">
        <v>1678</v>
      </c>
      <c r="I531" s="297">
        <v>43328.639953703707</v>
      </c>
      <c r="J531" s="297">
        <v>43355</v>
      </c>
      <c r="K531" s="297">
        <v>44450</v>
      </c>
      <c r="L531" s="297">
        <v>43287</v>
      </c>
      <c r="M531" s="298" t="s">
        <v>2464</v>
      </c>
      <c r="N531" s="296" t="str">
        <f>"Guinee,Kankan,Siguiri,Kintinian"</f>
        <v>Guinee,Kankan,Siguiri,Kintinian</v>
      </c>
    </row>
    <row r="532" spans="2:14" ht="27" x14ac:dyDescent="0.15">
      <c r="B532" s="295" t="str">
        <f>"22446"</f>
        <v>22446</v>
      </c>
      <c r="C532" s="295" t="str">
        <f>"A2018/5739/MMG/SGG"</f>
        <v>A2018/5739/MMG/SGG</v>
      </c>
      <c r="D532" s="296" t="s">
        <v>1607</v>
      </c>
      <c r="E532" s="295" t="s">
        <v>254</v>
      </c>
      <c r="F532" s="295" t="s">
        <v>1568</v>
      </c>
      <c r="G532" s="295" t="s">
        <v>1565</v>
      </c>
      <c r="H532" s="295" t="s">
        <v>1678</v>
      </c>
      <c r="I532" s="297">
        <v>43340.586365740739</v>
      </c>
      <c r="J532" s="297">
        <v>43355</v>
      </c>
      <c r="K532" s="297">
        <v>43987</v>
      </c>
      <c r="L532" s="297">
        <v>43293</v>
      </c>
      <c r="M532" s="298" t="s">
        <v>2465</v>
      </c>
      <c r="N532" s="296" t="str">
        <f>"Guinee,Kindia,Telimele,Konsotami, Santou, Tarihoye"</f>
        <v>Guinee,Kindia,Telimele,Konsotami, Santou, Tarihoye</v>
      </c>
    </row>
    <row r="533" spans="2:14" ht="27" x14ac:dyDescent="0.15">
      <c r="B533" s="295" t="str">
        <f>"22451"</f>
        <v>22451</v>
      </c>
      <c r="C533" s="295" t="str">
        <f>"A2018/5738/MMG/SGG"</f>
        <v>A2018/5738/MMG/SGG</v>
      </c>
      <c r="D533" s="296" t="s">
        <v>2466</v>
      </c>
      <c r="E533" s="295" t="s">
        <v>254</v>
      </c>
      <c r="F533" s="295" t="s">
        <v>1568</v>
      </c>
      <c r="G533" s="295" t="s">
        <v>1565</v>
      </c>
      <c r="H533" s="295" t="s">
        <v>1678</v>
      </c>
      <c r="I533" s="297">
        <v>43342.365844907406</v>
      </c>
      <c r="J533" s="297">
        <v>43355</v>
      </c>
      <c r="K533" s="297">
        <v>44450</v>
      </c>
      <c r="L533" s="297">
        <v>43307</v>
      </c>
      <c r="M533" s="298" t="s">
        <v>2467</v>
      </c>
      <c r="N533" s="296" t="str">
        <f>"Guinee,Boke,Gaoual,Foulamory, Koumbia; Koundara,Sarébo'do"</f>
        <v>Guinee,Boke,Gaoual,Foulamory, Koumbia; Koundara,Sarébo'do</v>
      </c>
    </row>
    <row r="534" spans="2:14" x14ac:dyDescent="0.15">
      <c r="B534" s="295" t="str">
        <f>"22440"</f>
        <v>22440</v>
      </c>
      <c r="C534" s="295" t="str">
        <f>"A2018/5736/MMG/SGG"</f>
        <v>A2018/5736/MMG/SGG</v>
      </c>
      <c r="D534" s="296" t="s">
        <v>2468</v>
      </c>
      <c r="E534" s="295" t="s">
        <v>78</v>
      </c>
      <c r="F534" s="295" t="s">
        <v>1781</v>
      </c>
      <c r="G534" s="295" t="s">
        <v>1565</v>
      </c>
      <c r="H534" s="295" t="s">
        <v>1565</v>
      </c>
      <c r="I534" s="297">
        <v>43321.69054398148</v>
      </c>
      <c r="J534" s="297">
        <v>43355</v>
      </c>
      <c r="K534" s="297">
        <v>44085</v>
      </c>
      <c r="L534" s="297">
        <v>43304</v>
      </c>
      <c r="M534" s="298" t="s">
        <v>2469</v>
      </c>
      <c r="N534" s="296" t="str">
        <f>"Guinee,Boke,Boke,Boké-centre"</f>
        <v>Guinee,Boke,Boke,Boké-centre</v>
      </c>
    </row>
    <row r="535" spans="2:14" x14ac:dyDescent="0.15">
      <c r="B535" s="295" t="str">
        <f>"22441"</f>
        <v>22441</v>
      </c>
      <c r="C535" s="295" t="str">
        <f>"A2018/5735/MMG/SGG"</f>
        <v>A2018/5735/MMG/SGG</v>
      </c>
      <c r="D535" s="296" t="s">
        <v>2470</v>
      </c>
      <c r="E535" s="295" t="s">
        <v>78</v>
      </c>
      <c r="F535" s="295" t="s">
        <v>1769</v>
      </c>
      <c r="G535" s="295" t="s">
        <v>1565</v>
      </c>
      <c r="H535" s="295" t="s">
        <v>1565</v>
      </c>
      <c r="I535" s="297">
        <v>43328.507638888892</v>
      </c>
      <c r="J535" s="297">
        <v>43355</v>
      </c>
      <c r="K535" s="297">
        <v>44085</v>
      </c>
      <c r="L535" s="297">
        <v>43231</v>
      </c>
      <c r="M535" s="298" t="s">
        <v>2471</v>
      </c>
      <c r="N535" s="296" t="str">
        <f>"Guinee,Kindia,Coyah,Wonkifong"</f>
        <v>Guinee,Kindia,Coyah,Wonkifong</v>
      </c>
    </row>
    <row r="536" spans="2:14" ht="27" x14ac:dyDescent="0.15">
      <c r="B536" s="295" t="str">
        <f>"22442"</f>
        <v>22442</v>
      </c>
      <c r="C536" s="295" t="str">
        <f>"A2018/5734/MMG/SGG"</f>
        <v>A2018/5734/MMG/SGG</v>
      </c>
      <c r="D536" s="296" t="s">
        <v>2472</v>
      </c>
      <c r="E536" s="295" t="s">
        <v>154</v>
      </c>
      <c r="F536" s="295" t="s">
        <v>644</v>
      </c>
      <c r="G536" s="295" t="s">
        <v>1565</v>
      </c>
      <c r="H536" s="295" t="s">
        <v>1678</v>
      </c>
      <c r="I536" s="297">
        <v>43328.6247337963</v>
      </c>
      <c r="J536" s="297">
        <v>43355</v>
      </c>
      <c r="K536" s="297">
        <v>44450</v>
      </c>
      <c r="L536" s="297">
        <v>43329</v>
      </c>
      <c r="M536" s="298" t="s">
        <v>2473</v>
      </c>
      <c r="N536" s="296" t="str">
        <f>"Guinee,Kankan,Kouroussa,Komola-khoura"</f>
        <v>Guinee,Kankan,Kouroussa,Komola-khoura</v>
      </c>
    </row>
    <row r="537" spans="2:14" ht="40.5" x14ac:dyDescent="0.15">
      <c r="B537" s="295" t="str">
        <f>"22447"</f>
        <v>22447</v>
      </c>
      <c r="C537" s="295" t="str">
        <f>"A2018/5668/MMG/SGG"</f>
        <v>A2018/5668/MMG/SGG</v>
      </c>
      <c r="D537" s="296" t="s">
        <v>2474</v>
      </c>
      <c r="E537" s="295" t="s">
        <v>78</v>
      </c>
      <c r="F537" s="295" t="s">
        <v>1769</v>
      </c>
      <c r="G537" s="295" t="s">
        <v>1565</v>
      </c>
      <c r="H537" s="295" t="s">
        <v>1678</v>
      </c>
      <c r="I537" s="297">
        <v>43341.381273148145</v>
      </c>
      <c r="J537" s="297">
        <v>43354</v>
      </c>
      <c r="K537" s="297">
        <v>44084</v>
      </c>
      <c r="L537" s="297">
        <v>43262</v>
      </c>
      <c r="M537" s="298" t="s">
        <v>2475</v>
      </c>
      <c r="N537" s="296" t="str">
        <f>"Guinee,Kindia,Dubreka,Khorira"</f>
        <v>Guinee,Kindia,Dubreka,Khorira</v>
      </c>
    </row>
    <row r="538" spans="2:14" ht="18.75" x14ac:dyDescent="0.15">
      <c r="B538" s="295" t="str">
        <f>"22364"</f>
        <v>22364</v>
      </c>
      <c r="C538" s="295" t="str">
        <f>"A2018/5398/MMG/SGG"</f>
        <v>A2018/5398/MMG/SGG</v>
      </c>
      <c r="D538" s="296" t="s">
        <v>2476</v>
      </c>
      <c r="E538" s="295" t="s">
        <v>154</v>
      </c>
      <c r="F538" s="295" t="s">
        <v>644</v>
      </c>
      <c r="G538" s="295" t="s">
        <v>1565</v>
      </c>
      <c r="H538" s="295" t="s">
        <v>1565</v>
      </c>
      <c r="I538" s="297">
        <v>43242.518495370372</v>
      </c>
      <c r="J538" s="297">
        <v>43326</v>
      </c>
      <c r="K538" s="297">
        <v>44421</v>
      </c>
      <c r="L538" s="297">
        <v>43201</v>
      </c>
      <c r="M538" s="298" t="s">
        <v>2477</v>
      </c>
      <c r="N538" s="296" t="str">
        <f>"Guinee,Kankan,Siguiri,Norassoba"</f>
        <v>Guinee,Kankan,Siguiri,Norassoba</v>
      </c>
    </row>
    <row r="539" spans="2:14" ht="27" x14ac:dyDescent="0.15">
      <c r="B539" s="295" t="str">
        <f>"22419"</f>
        <v>22419</v>
      </c>
      <c r="C539" s="295" t="str">
        <f>"A2018/5397/MMG/SGG"</f>
        <v>A2018/5397/MMG/SGG</v>
      </c>
      <c r="D539" s="296" t="s">
        <v>2478</v>
      </c>
      <c r="E539" s="295" t="s">
        <v>154</v>
      </c>
      <c r="F539" s="295" t="s">
        <v>644</v>
      </c>
      <c r="G539" s="295" t="s">
        <v>1565</v>
      </c>
      <c r="H539" s="295" t="s">
        <v>1678</v>
      </c>
      <c r="I539" s="297">
        <v>43313.441932870373</v>
      </c>
      <c r="J539" s="297">
        <v>43326</v>
      </c>
      <c r="K539" s="297">
        <v>44421</v>
      </c>
      <c r="L539" s="297">
        <v>43276</v>
      </c>
      <c r="M539" s="298" t="s">
        <v>2479</v>
      </c>
      <c r="N539" s="296" t="str">
        <f>"Guinee,Kankan,Siguiri,Doko, Kintinian"</f>
        <v>Guinee,Kankan,Siguiri,Doko, Kintinian</v>
      </c>
    </row>
    <row r="540" spans="2:14" ht="27" x14ac:dyDescent="0.15">
      <c r="B540" s="295" t="str">
        <f>"22418"</f>
        <v>22418</v>
      </c>
      <c r="C540" s="295" t="str">
        <f>"A2018/5396/MMG/SGG"</f>
        <v>A2018/5396/MMG/SGG</v>
      </c>
      <c r="D540" s="296" t="s">
        <v>2480</v>
      </c>
      <c r="E540" s="295" t="s">
        <v>154</v>
      </c>
      <c r="F540" s="295" t="s">
        <v>644</v>
      </c>
      <c r="G540" s="295" t="s">
        <v>1565</v>
      </c>
      <c r="H540" s="295" t="s">
        <v>1678</v>
      </c>
      <c r="I540" s="297">
        <v>43313.409351851849</v>
      </c>
      <c r="J540" s="297">
        <v>43326</v>
      </c>
      <c r="K540" s="297">
        <v>44421</v>
      </c>
      <c r="L540" s="297">
        <v>43276</v>
      </c>
      <c r="M540" s="298" t="s">
        <v>2481</v>
      </c>
      <c r="N540" s="296" t="str">
        <f>"Guinee,Kankan,Siguiri,Kintinian"</f>
        <v>Guinee,Kankan,Siguiri,Kintinian</v>
      </c>
    </row>
    <row r="541" spans="2:14" ht="18.75" x14ac:dyDescent="0.15">
      <c r="B541" s="295" t="str">
        <f>"19726"</f>
        <v>19726</v>
      </c>
      <c r="C541" s="295" t="str">
        <f>"A2018/5348/MMG/SGG"</f>
        <v>A2018/5348/MMG/SGG</v>
      </c>
      <c r="D541" s="296" t="s">
        <v>1672</v>
      </c>
      <c r="E541" s="295" t="s">
        <v>154</v>
      </c>
      <c r="F541" s="295" t="s">
        <v>644</v>
      </c>
      <c r="G541" s="295" t="s">
        <v>1565</v>
      </c>
      <c r="H541" s="295" t="s">
        <v>1565</v>
      </c>
      <c r="I541" s="297">
        <v>43320.632511574076</v>
      </c>
      <c r="J541" s="297">
        <v>42179</v>
      </c>
      <c r="K541" s="297">
        <v>44005</v>
      </c>
      <c r="L541" s="297">
        <v>41645</v>
      </c>
      <c r="M541" s="298" t="s">
        <v>2482</v>
      </c>
      <c r="N541" s="296" t="str">
        <f>"Guinee,Kankan,Mandiana,Morodou"</f>
        <v>Guinee,Kankan,Mandiana,Morodou</v>
      </c>
    </row>
    <row r="542" spans="2:14" ht="18.75" x14ac:dyDescent="0.15">
      <c r="B542" s="295" t="str">
        <f>"19727"</f>
        <v>19727</v>
      </c>
      <c r="C542" s="295" t="str">
        <f>"A2018/5347/MMG/SGG"</f>
        <v>A2018/5347/MMG/SGG</v>
      </c>
      <c r="D542" s="296" t="s">
        <v>1672</v>
      </c>
      <c r="E542" s="295" t="s">
        <v>154</v>
      </c>
      <c r="F542" s="295" t="s">
        <v>644</v>
      </c>
      <c r="G542" s="295" t="s">
        <v>1565</v>
      </c>
      <c r="H542" s="295" t="s">
        <v>1565</v>
      </c>
      <c r="I542" s="297">
        <v>43558.6403125</v>
      </c>
      <c r="J542" s="297">
        <v>42179</v>
      </c>
      <c r="K542" s="297">
        <v>44052</v>
      </c>
      <c r="L542" s="297">
        <v>41645</v>
      </c>
      <c r="M542" s="298" t="s">
        <v>2483</v>
      </c>
      <c r="N542" s="296" t="str">
        <f>"Guinee,Kankan,Mandiana,Dialokoro"</f>
        <v>Guinee,Kankan,Mandiana,Dialokoro</v>
      </c>
    </row>
    <row r="543" spans="2:14" ht="18.75" x14ac:dyDescent="0.15">
      <c r="B543" s="295" t="str">
        <f>"19725"</f>
        <v>19725</v>
      </c>
      <c r="C543" s="295" t="str">
        <f>"A2018/5346/MMG/SGG"</f>
        <v>A2018/5346/MMG/SGG</v>
      </c>
      <c r="D543" s="296" t="s">
        <v>1672</v>
      </c>
      <c r="E543" s="295" t="s">
        <v>154</v>
      </c>
      <c r="F543" s="295" t="s">
        <v>644</v>
      </c>
      <c r="G543" s="295" t="s">
        <v>1565</v>
      </c>
      <c r="H543" s="295" t="s">
        <v>1873</v>
      </c>
      <c r="I543" s="297">
        <v>43558.641898148147</v>
      </c>
      <c r="J543" s="297">
        <v>42179</v>
      </c>
      <c r="K543" s="297">
        <v>44052</v>
      </c>
      <c r="L543" s="297">
        <v>41645</v>
      </c>
      <c r="M543" s="298" t="s">
        <v>2484</v>
      </c>
      <c r="N543" s="296" t="str">
        <f>"Guinee,Kankan,Mandiana,Kiniéran, Koundianakoro, Morodou"</f>
        <v>Guinee,Kankan,Mandiana,Kiniéran, Koundianakoro, Morodou</v>
      </c>
    </row>
    <row r="544" spans="2:14" ht="18.75" x14ac:dyDescent="0.15">
      <c r="B544" s="295" t="str">
        <f>"22398"</f>
        <v>22398</v>
      </c>
      <c r="C544" s="295" t="str">
        <f>"A2018/5344/MMG/SGG"</f>
        <v>A2018/5344/MMG/SGG</v>
      </c>
      <c r="D544" s="296" t="s">
        <v>2485</v>
      </c>
      <c r="E544" s="295" t="s">
        <v>154</v>
      </c>
      <c r="F544" s="295" t="s">
        <v>644</v>
      </c>
      <c r="G544" s="295" t="s">
        <v>1565</v>
      </c>
      <c r="H544" s="295" t="s">
        <v>1565</v>
      </c>
      <c r="I544" s="297">
        <v>43284.657349537039</v>
      </c>
      <c r="J544" s="297">
        <v>43326</v>
      </c>
      <c r="K544" s="297">
        <v>44421</v>
      </c>
      <c r="L544" s="297">
        <v>43277</v>
      </c>
      <c r="M544" s="298" t="s">
        <v>2486</v>
      </c>
      <c r="N544" s="296" t="str">
        <f>"Guinee,Kankan,Mandiana,Dialokoro; Siguiri,Siguiri-centre"</f>
        <v>Guinee,Kankan,Mandiana,Dialokoro; Siguiri,Siguiri-centre</v>
      </c>
    </row>
    <row r="545" spans="2:14" ht="18.75" x14ac:dyDescent="0.15">
      <c r="B545" s="295" t="str">
        <f>"22401"</f>
        <v>22401</v>
      </c>
      <c r="C545" s="295" t="str">
        <f>"A2018/5337/MMG/SGG"</f>
        <v>A2018/5337/MMG/SGG</v>
      </c>
      <c r="D545" s="296" t="s">
        <v>2466</v>
      </c>
      <c r="E545" s="295" t="s">
        <v>154</v>
      </c>
      <c r="F545" s="295" t="s">
        <v>644</v>
      </c>
      <c r="G545" s="295" t="s">
        <v>1565</v>
      </c>
      <c r="H545" s="295" t="s">
        <v>1565</v>
      </c>
      <c r="I545" s="297">
        <v>43286.71130787037</v>
      </c>
      <c r="J545" s="297">
        <v>43322</v>
      </c>
      <c r="K545" s="297">
        <v>44417</v>
      </c>
      <c r="L545" s="297">
        <v>43182</v>
      </c>
      <c r="M545" s="298" t="s">
        <v>2487</v>
      </c>
      <c r="N545" s="296" t="str">
        <f>"Guinee,Kankan,Siguiri,Niagassola"</f>
        <v>Guinee,Kankan,Siguiri,Niagassola</v>
      </c>
    </row>
    <row r="546" spans="2:14" x14ac:dyDescent="0.15">
      <c r="B546" s="295" t="str">
        <f>"22397"</f>
        <v>22397</v>
      </c>
      <c r="C546" s="295" t="str">
        <f>"A2018/5253/MMG/SGG"</f>
        <v>A2018/5253/MMG/SGG</v>
      </c>
      <c r="D546" s="296" t="s">
        <v>2488</v>
      </c>
      <c r="E546" s="295" t="s">
        <v>78</v>
      </c>
      <c r="F546" s="295" t="s">
        <v>1781</v>
      </c>
      <c r="G546" s="295" t="s">
        <v>1565</v>
      </c>
      <c r="H546" s="295" t="s">
        <v>1565</v>
      </c>
      <c r="I546" s="297">
        <v>43284.638796296298</v>
      </c>
      <c r="J546" s="297">
        <v>43305</v>
      </c>
      <c r="K546" s="297">
        <v>44035</v>
      </c>
      <c r="L546" s="297">
        <v>43276</v>
      </c>
      <c r="M546" s="298" t="s">
        <v>2489</v>
      </c>
      <c r="N546" s="296" t="str">
        <f>"Guinee,Boke,Boke,Malapouyah"</f>
        <v>Guinee,Boke,Boke,Malapouyah</v>
      </c>
    </row>
    <row r="547" spans="2:14" x14ac:dyDescent="0.15">
      <c r="B547" s="295" t="str">
        <f>"22406"</f>
        <v>22406</v>
      </c>
      <c r="C547" s="295" t="str">
        <f>"A2018/5252/MMG/SGG"</f>
        <v>A2018/5252/MMG/SGG</v>
      </c>
      <c r="D547" s="296" t="s">
        <v>2490</v>
      </c>
      <c r="E547" s="295" t="s">
        <v>78</v>
      </c>
      <c r="F547" s="295" t="s">
        <v>1781</v>
      </c>
      <c r="G547" s="295" t="s">
        <v>1565</v>
      </c>
      <c r="H547" s="295" t="s">
        <v>1565</v>
      </c>
      <c r="I547" s="297">
        <v>43293.512048611112</v>
      </c>
      <c r="J547" s="297">
        <v>43305</v>
      </c>
      <c r="K547" s="297">
        <v>44035</v>
      </c>
      <c r="L547" s="297">
        <v>43227</v>
      </c>
      <c r="M547" s="298" t="s">
        <v>2491</v>
      </c>
      <c r="N547" s="296" t="str">
        <f>"Guinee,Boke,Boffa,Tougnifily"</f>
        <v>Guinee,Boke,Boffa,Tougnifily</v>
      </c>
    </row>
    <row r="548" spans="2:14" ht="18.75" x14ac:dyDescent="0.15">
      <c r="B548" s="295" t="str">
        <f>"22374"</f>
        <v>22374</v>
      </c>
      <c r="C548" s="295" t="str">
        <f>"A2018/5250/MMG/SGG"</f>
        <v>A2018/5250/MMG/SGG</v>
      </c>
      <c r="D548" s="296" t="s">
        <v>2492</v>
      </c>
      <c r="E548" s="295" t="s">
        <v>154</v>
      </c>
      <c r="F548" s="295" t="s">
        <v>644</v>
      </c>
      <c r="G548" s="295" t="s">
        <v>1565</v>
      </c>
      <c r="H548" s="295" t="s">
        <v>1873</v>
      </c>
      <c r="I548" s="297">
        <v>43250.532916666663</v>
      </c>
      <c r="J548" s="297">
        <v>43305</v>
      </c>
      <c r="K548" s="297">
        <v>44400</v>
      </c>
      <c r="L548" s="297">
        <v>43224</v>
      </c>
      <c r="M548" s="298" t="s">
        <v>2493</v>
      </c>
      <c r="N548" s="296" t="str">
        <f>"Guinee,Kankan,Kouroussa,Baro, Kiniéro"</f>
        <v>Guinee,Kankan,Kouroussa,Baro, Kiniéro</v>
      </c>
    </row>
    <row r="549" spans="2:14" x14ac:dyDescent="0.15">
      <c r="B549" s="295" t="str">
        <f>"22389"</f>
        <v>22389</v>
      </c>
      <c r="C549" s="295" t="str">
        <f>"A2018/5249/MMG/SGG"</f>
        <v>A2018/5249/MMG/SGG</v>
      </c>
      <c r="D549" s="296" t="s">
        <v>2494</v>
      </c>
      <c r="E549" s="295" t="s">
        <v>78</v>
      </c>
      <c r="F549" s="295" t="s">
        <v>1769</v>
      </c>
      <c r="G549" s="295" t="s">
        <v>1565</v>
      </c>
      <c r="H549" s="295" t="s">
        <v>1565</v>
      </c>
      <c r="I549" s="297">
        <v>43264.546331018515</v>
      </c>
      <c r="J549" s="297">
        <v>43305</v>
      </c>
      <c r="K549" s="297">
        <v>44035</v>
      </c>
      <c r="L549" s="297">
        <v>43228</v>
      </c>
      <c r="M549" s="298" t="s">
        <v>2495</v>
      </c>
      <c r="N549" s="296" t="str">
        <f>"Guinee,Kindia,Dubreka,Khorira"</f>
        <v>Guinee,Kindia,Dubreka,Khorira</v>
      </c>
    </row>
    <row r="550" spans="2:14" x14ac:dyDescent="0.15">
      <c r="B550" s="295" t="str">
        <f>"22393"</f>
        <v>22393</v>
      </c>
      <c r="C550" s="295" t="str">
        <f>"A2018/5248/MMG/SGG"</f>
        <v>A2018/5248/MMG/SGG</v>
      </c>
      <c r="D550" s="296" t="s">
        <v>2458</v>
      </c>
      <c r="E550" s="295" t="s">
        <v>78</v>
      </c>
      <c r="F550" s="295" t="s">
        <v>1781</v>
      </c>
      <c r="G550" s="295" t="s">
        <v>1565</v>
      </c>
      <c r="H550" s="295" t="s">
        <v>1565</v>
      </c>
      <c r="I550" s="297">
        <v>43270.654803240737</v>
      </c>
      <c r="J550" s="297">
        <v>43305</v>
      </c>
      <c r="K550" s="297">
        <v>44035</v>
      </c>
      <c r="L550" s="297">
        <v>43237</v>
      </c>
      <c r="M550" s="298" t="s">
        <v>2496</v>
      </c>
      <c r="N550" s="296" t="str">
        <f>"Guinee,Boke,Boke,Malapouyah"</f>
        <v>Guinee,Boke,Boke,Malapouyah</v>
      </c>
    </row>
    <row r="551" spans="2:14" ht="27" x14ac:dyDescent="0.15">
      <c r="B551" s="295" t="str">
        <f>"22370"</f>
        <v>22370</v>
      </c>
      <c r="C551" s="295" t="str">
        <f>"A2018/4901/MMG/SGG"</f>
        <v>A2018/4901/MMG/SGG</v>
      </c>
      <c r="D551" s="296" t="s">
        <v>2497</v>
      </c>
      <c r="E551" s="295" t="s">
        <v>154</v>
      </c>
      <c r="F551" s="295" t="s">
        <v>644</v>
      </c>
      <c r="G551" s="295" t="s">
        <v>1565</v>
      </c>
      <c r="H551" s="295" t="s">
        <v>1565</v>
      </c>
      <c r="I551" s="297">
        <v>43244.379444444443</v>
      </c>
      <c r="J551" s="297">
        <v>43273</v>
      </c>
      <c r="K551" s="297">
        <v>44368</v>
      </c>
      <c r="L551" s="297">
        <v>43243</v>
      </c>
      <c r="M551" s="298" t="s">
        <v>2498</v>
      </c>
      <c r="N551" s="296" t="str">
        <f>"Guinee,Faranah,Kissidougo,Albadariah; Kankan,Kouroussa,Douako"</f>
        <v>Guinee,Faranah,Kissidougo,Albadariah; Kankan,Kouroussa,Douako</v>
      </c>
    </row>
    <row r="552" spans="2:14" ht="27" x14ac:dyDescent="0.15">
      <c r="B552" s="295" t="str">
        <f>"22382"</f>
        <v>22382</v>
      </c>
      <c r="C552" s="295" t="str">
        <f>"A2018/4899/MMG/SGG"</f>
        <v>A2018/4899/MMG/SGG</v>
      </c>
      <c r="D552" s="296" t="s">
        <v>2499</v>
      </c>
      <c r="E552" s="295" t="s">
        <v>154</v>
      </c>
      <c r="F552" s="295" t="s">
        <v>644</v>
      </c>
      <c r="G552" s="295" t="s">
        <v>1565</v>
      </c>
      <c r="H552" s="295" t="s">
        <v>1678</v>
      </c>
      <c r="I552" s="297">
        <v>43258.681701388887</v>
      </c>
      <c r="J552" s="297">
        <v>43273</v>
      </c>
      <c r="K552" s="297">
        <v>44368</v>
      </c>
      <c r="L552" s="297">
        <v>43252</v>
      </c>
      <c r="M552" s="298" t="s">
        <v>2500</v>
      </c>
      <c r="N552" s="296" t="str">
        <f>"Guinee,Kankan,Kerouane,Konsankoro; N'Zerekore,Beyla,Nionsomoridou"</f>
        <v>Guinee,Kankan,Kerouane,Konsankoro; N'Zerekore,Beyla,Nionsomoridou</v>
      </c>
    </row>
    <row r="553" spans="2:14" ht="27" x14ac:dyDescent="0.15">
      <c r="B553" s="295" t="str">
        <f>"22369"</f>
        <v>22369</v>
      </c>
      <c r="C553" s="295" t="str">
        <f>"A2018/4590/MMG/SGG"</f>
        <v>A2018/4590/MMG/SGG</v>
      </c>
      <c r="D553" s="296" t="s">
        <v>2501</v>
      </c>
      <c r="E553" s="295" t="s">
        <v>254</v>
      </c>
      <c r="F553" s="295" t="s">
        <v>1568</v>
      </c>
      <c r="G553" s="295" t="s">
        <v>1565</v>
      </c>
      <c r="H553" s="295" t="s">
        <v>1565</v>
      </c>
      <c r="I553" s="297">
        <v>43243.727546296293</v>
      </c>
      <c r="J553" s="297">
        <v>43258</v>
      </c>
      <c r="K553" s="297">
        <v>44353</v>
      </c>
      <c r="L553" s="297">
        <v>43224</v>
      </c>
      <c r="M553" s="298" t="s">
        <v>2502</v>
      </c>
      <c r="N553" s="296" t="str">
        <f>"Guinee,Boke,Fria,Fria; Kindia,Dubreka,Faléssadé, Tondon; Kindia,Bangouya; Telimele,Kollet"</f>
        <v>Guinee,Boke,Fria,Fria; Kindia,Dubreka,Faléssadé, Tondon; Kindia,Bangouya; Telimele,Kollet</v>
      </c>
    </row>
    <row r="554" spans="2:14" x14ac:dyDescent="0.15">
      <c r="B554" s="295" t="str">
        <f>"22361"</f>
        <v>22361</v>
      </c>
      <c r="C554" s="295" t="str">
        <f>"A2018/4399/MMG/SGG"</f>
        <v>A2018/4399/MMG/SGG</v>
      </c>
      <c r="D554" s="296" t="s">
        <v>2503</v>
      </c>
      <c r="E554" s="295" t="s">
        <v>78</v>
      </c>
      <c r="F554" s="295" t="s">
        <v>1781</v>
      </c>
      <c r="G554" s="295" t="s">
        <v>1565</v>
      </c>
      <c r="H554" s="295" t="s">
        <v>1565</v>
      </c>
      <c r="I554" s="297">
        <v>43237.583483796298</v>
      </c>
      <c r="J554" s="297">
        <v>43256</v>
      </c>
      <c r="K554" s="297">
        <v>43986</v>
      </c>
      <c r="L554" s="297">
        <v>43181</v>
      </c>
      <c r="M554" s="298" t="s">
        <v>2504</v>
      </c>
      <c r="N554" s="296" t="str">
        <f>"Guinee,Kindia,Coyah,Kouria"</f>
        <v>Guinee,Kindia,Coyah,Kouria</v>
      </c>
    </row>
    <row r="555" spans="2:14" ht="18.75" x14ac:dyDescent="0.15">
      <c r="B555" s="295" t="str">
        <f>"22355"</f>
        <v>22355</v>
      </c>
      <c r="C555" s="295" t="str">
        <f>"A2018/4398/MMG/SGG"</f>
        <v>A2018/4398/MMG/SGG</v>
      </c>
      <c r="D555" s="296" t="s">
        <v>652</v>
      </c>
      <c r="E555" s="295" t="s">
        <v>154</v>
      </c>
      <c r="F555" s="295" t="s">
        <v>644</v>
      </c>
      <c r="G555" s="295" t="s">
        <v>1565</v>
      </c>
      <c r="H555" s="295" t="s">
        <v>1873</v>
      </c>
      <c r="I555" s="297">
        <v>43234.767581018517</v>
      </c>
      <c r="J555" s="297">
        <v>43256</v>
      </c>
      <c r="K555" s="297">
        <v>44351</v>
      </c>
      <c r="L555" s="297">
        <v>43234</v>
      </c>
      <c r="M555" s="298" t="s">
        <v>2505</v>
      </c>
      <c r="N555" s="296" t="str">
        <f>"Guinee,Kankan,Kankan,Balandougou"</f>
        <v>Guinee,Kankan,Kankan,Balandougou</v>
      </c>
    </row>
    <row r="556" spans="2:14" ht="18.75" x14ac:dyDescent="0.15">
      <c r="B556" s="295" t="str">
        <f>"22353"</f>
        <v>22353</v>
      </c>
      <c r="C556" s="295" t="str">
        <f>"A2018/4397/MMG/SGG"</f>
        <v>A2018/4397/MMG/SGG</v>
      </c>
      <c r="D556" s="296" t="s">
        <v>652</v>
      </c>
      <c r="E556" s="295" t="s">
        <v>154</v>
      </c>
      <c r="F556" s="295" t="s">
        <v>644</v>
      </c>
      <c r="G556" s="295" t="s">
        <v>1565</v>
      </c>
      <c r="H556" s="295" t="s">
        <v>1873</v>
      </c>
      <c r="I556" s="297">
        <v>43234.744293981479</v>
      </c>
      <c r="J556" s="297">
        <v>43256</v>
      </c>
      <c r="K556" s="297">
        <v>44351</v>
      </c>
      <c r="L556" s="297">
        <v>43234</v>
      </c>
      <c r="M556" s="298" t="s">
        <v>2506</v>
      </c>
      <c r="N556" s="296" t="str">
        <f>"Guinee,Kankan,Mandiana,Koundian"</f>
        <v>Guinee,Kankan,Mandiana,Koundian</v>
      </c>
    </row>
    <row r="557" spans="2:14" ht="18.75" x14ac:dyDescent="0.15">
      <c r="B557" s="295" t="str">
        <f>"22354"</f>
        <v>22354</v>
      </c>
      <c r="C557" s="295" t="str">
        <f>"A2018/4396/MMG/SGG"</f>
        <v>A2018/4396/MMG/SGG</v>
      </c>
      <c r="D557" s="296" t="s">
        <v>652</v>
      </c>
      <c r="E557" s="295" t="s">
        <v>154</v>
      </c>
      <c r="F557" s="295" t="s">
        <v>644</v>
      </c>
      <c r="G557" s="295" t="s">
        <v>1565</v>
      </c>
      <c r="H557" s="295" t="s">
        <v>1873</v>
      </c>
      <c r="I557" s="297">
        <v>43234.757523148146</v>
      </c>
      <c r="J557" s="297">
        <v>43256</v>
      </c>
      <c r="K557" s="297">
        <v>44351</v>
      </c>
      <c r="L557" s="297">
        <v>43234</v>
      </c>
      <c r="M557" s="298" t="s">
        <v>2507</v>
      </c>
      <c r="N557" s="296" t="str">
        <f>"Guinee,Kankan,Mandiana,Kantoumanina, Mandiana-centre"</f>
        <v>Guinee,Kankan,Mandiana,Kantoumanina, Mandiana-centre</v>
      </c>
    </row>
    <row r="558" spans="2:14" ht="27" x14ac:dyDescent="0.15">
      <c r="B558" s="295" t="str">
        <f>"22346"</f>
        <v>22346</v>
      </c>
      <c r="C558" s="295" t="str">
        <f>"A2018/4392/MMG/SGG"</f>
        <v>A2018/4392/MMG/SGG</v>
      </c>
      <c r="D558" s="296" t="s">
        <v>2508</v>
      </c>
      <c r="E558" s="295" t="s">
        <v>154</v>
      </c>
      <c r="F558" s="295" t="s">
        <v>640</v>
      </c>
      <c r="G558" s="295" t="s">
        <v>1565</v>
      </c>
      <c r="H558" s="295" t="s">
        <v>1565</v>
      </c>
      <c r="I558" s="297">
        <v>43213.744803240741</v>
      </c>
      <c r="J558" s="297">
        <v>43256</v>
      </c>
      <c r="K558" s="297">
        <v>44351</v>
      </c>
      <c r="L558" s="297">
        <v>43213</v>
      </c>
      <c r="M558" s="298" t="s">
        <v>2509</v>
      </c>
      <c r="N558" s="296" t="str">
        <f>"Guinee,Faranah,Kissidougo,Kondiadou; N'Zerekore,Macenta,Watanka"</f>
        <v>Guinee,Faranah,Kissidougo,Kondiadou; N'Zerekore,Macenta,Watanka</v>
      </c>
    </row>
    <row r="559" spans="2:14" ht="27" x14ac:dyDescent="0.15">
      <c r="B559" s="295" t="str">
        <f>"22350"</f>
        <v>22350</v>
      </c>
      <c r="C559" s="295" t="str">
        <f>"A2018/4177/MMG/SGG"</f>
        <v>A2018/4177/MMG/SGG</v>
      </c>
      <c r="D559" s="296" t="s">
        <v>2510</v>
      </c>
      <c r="E559" s="295" t="s">
        <v>78</v>
      </c>
      <c r="F559" s="295" t="s">
        <v>1769</v>
      </c>
      <c r="G559" s="295" t="s">
        <v>1565</v>
      </c>
      <c r="H559" s="295" t="s">
        <v>1678</v>
      </c>
      <c r="I559" s="297">
        <v>43217.424097222225</v>
      </c>
      <c r="J559" s="297">
        <v>43235</v>
      </c>
      <c r="K559" s="297">
        <v>43965</v>
      </c>
      <c r="L559" s="297">
        <v>43179</v>
      </c>
      <c r="M559" s="298" t="s">
        <v>2511</v>
      </c>
      <c r="N559" s="296" t="str">
        <f>"Guinee,Kindia,Dubreka,Dubréka"</f>
        <v>Guinee,Kindia,Dubreka,Dubréka</v>
      </c>
    </row>
    <row r="560" spans="2:14" ht="27" x14ac:dyDescent="0.15">
      <c r="B560" s="295" t="str">
        <f>"22193"</f>
        <v>22193</v>
      </c>
      <c r="C560" s="295" t="str">
        <f>"A2018/3603/MMG/SGG"</f>
        <v>A2018/3603/MMG/SGG</v>
      </c>
      <c r="D560" s="296" t="s">
        <v>2512</v>
      </c>
      <c r="E560" s="295" t="s">
        <v>78</v>
      </c>
      <c r="F560" s="295" t="s">
        <v>1781</v>
      </c>
      <c r="G560" s="295" t="s">
        <v>1565</v>
      </c>
      <c r="H560" s="295" t="s">
        <v>1678</v>
      </c>
      <c r="I560" s="297">
        <v>42955.509652777779</v>
      </c>
      <c r="J560" s="297">
        <v>43223</v>
      </c>
      <c r="K560" s="297">
        <v>43953</v>
      </c>
      <c r="L560" s="297">
        <v>42886</v>
      </c>
      <c r="M560" s="298" t="s">
        <v>2513</v>
      </c>
      <c r="N560" s="296" t="str">
        <f>"Guinee,Boke,Boke,Malapouyah"</f>
        <v>Guinee,Boke,Boke,Malapouyah</v>
      </c>
    </row>
    <row r="561" spans="2:14" x14ac:dyDescent="0.15">
      <c r="B561" s="295" t="str">
        <f>"22334"</f>
        <v>22334</v>
      </c>
      <c r="C561" s="295" t="str">
        <f>"A2018/3444/MMG/SGG"</f>
        <v>A2018/3444/MMG/SGG</v>
      </c>
      <c r="D561" s="296" t="s">
        <v>2514</v>
      </c>
      <c r="E561" s="295" t="s">
        <v>78</v>
      </c>
      <c r="F561" s="295" t="s">
        <v>1769</v>
      </c>
      <c r="G561" s="295" t="s">
        <v>1565</v>
      </c>
      <c r="H561" s="295" t="s">
        <v>1565</v>
      </c>
      <c r="I561" s="297">
        <v>43195.543009259258</v>
      </c>
      <c r="J561" s="297">
        <v>43213</v>
      </c>
      <c r="K561" s="297">
        <v>44749</v>
      </c>
      <c r="L561" s="297">
        <v>43153</v>
      </c>
      <c r="M561" s="298" t="s">
        <v>2515</v>
      </c>
      <c r="N561" s="296" t="str">
        <f>"Guinee,Kindia,Dubreka,Dubréka"</f>
        <v>Guinee,Kindia,Dubreka,Dubréka</v>
      </c>
    </row>
    <row r="562" spans="2:14" x14ac:dyDescent="0.15">
      <c r="B562" s="295" t="str">
        <f>"22340"</f>
        <v>22340</v>
      </c>
      <c r="C562" s="295" t="str">
        <f>"A2018/3443/MMG/SGG"</f>
        <v>A2018/3443/MMG/SGG</v>
      </c>
      <c r="D562" s="296" t="s">
        <v>2516</v>
      </c>
      <c r="E562" s="295" t="s">
        <v>78</v>
      </c>
      <c r="F562" s="295" t="s">
        <v>1769</v>
      </c>
      <c r="G562" s="295" t="s">
        <v>1565</v>
      </c>
      <c r="H562" s="295" t="s">
        <v>1565</v>
      </c>
      <c r="I562" s="297">
        <v>43200.711111111108</v>
      </c>
      <c r="J562" s="297">
        <v>43213</v>
      </c>
      <c r="K562" s="297">
        <v>44911</v>
      </c>
      <c r="L562" s="297">
        <v>43152</v>
      </c>
      <c r="M562" s="298" t="s">
        <v>2517</v>
      </c>
      <c r="N562" s="296" t="str">
        <f>"Guinee,Kindia,Coyah,Kouria"</f>
        <v>Guinee,Kindia,Coyah,Kouria</v>
      </c>
    </row>
    <row r="563" spans="2:14" ht="27" x14ac:dyDescent="0.15">
      <c r="B563" s="295" t="str">
        <f>"22309"</f>
        <v>22309</v>
      </c>
      <c r="C563" s="295" t="str">
        <f>"A2018/3442/MMG/SGG"</f>
        <v>A2018/3442/MMG/SGG</v>
      </c>
      <c r="D563" s="296" t="s">
        <v>2518</v>
      </c>
      <c r="E563" s="295" t="s">
        <v>154</v>
      </c>
      <c r="F563" s="295" t="s">
        <v>644</v>
      </c>
      <c r="G563" s="295" t="s">
        <v>1565</v>
      </c>
      <c r="H563" s="295" t="s">
        <v>1565</v>
      </c>
      <c r="I563" s="297">
        <v>43160.417141203703</v>
      </c>
      <c r="J563" s="297">
        <v>43213</v>
      </c>
      <c r="K563" s="297">
        <v>44308</v>
      </c>
      <c r="L563" s="297">
        <v>43112</v>
      </c>
      <c r="M563" s="298" t="s">
        <v>2519</v>
      </c>
      <c r="N563" s="296" t="str">
        <f>"Guinee,Kankan,Siguiri,Naboun, Niagassola"</f>
        <v>Guinee,Kankan,Siguiri,Naboun, Niagassola</v>
      </c>
    </row>
    <row r="564" spans="2:14" ht="18.75" x14ac:dyDescent="0.15">
      <c r="B564" s="295" t="str">
        <f>"22335"</f>
        <v>22335</v>
      </c>
      <c r="C564" s="295" t="str">
        <f>"A2018/3440/MMG/SGG"</f>
        <v>A2018/3440/MMG/SGG</v>
      </c>
      <c r="D564" s="296" t="s">
        <v>2520</v>
      </c>
      <c r="E564" s="295" t="s">
        <v>154</v>
      </c>
      <c r="F564" s="295" t="s">
        <v>644</v>
      </c>
      <c r="G564" s="295" t="s">
        <v>1565</v>
      </c>
      <c r="H564" s="295" t="s">
        <v>1873</v>
      </c>
      <c r="I564" s="297">
        <v>43195.577557870369</v>
      </c>
      <c r="J564" s="297">
        <v>43213</v>
      </c>
      <c r="K564" s="297">
        <v>44308</v>
      </c>
      <c r="L564" s="297">
        <v>43055</v>
      </c>
      <c r="M564" s="298" t="s">
        <v>2521</v>
      </c>
      <c r="N564" s="296" t="str">
        <f>"Guinee,Kankan,Siguiri,Kiniebakoura, Niandankoro, Siguiri-centre"</f>
        <v>Guinee,Kankan,Siguiri,Kiniebakoura, Niandankoro, Siguiri-centre</v>
      </c>
    </row>
    <row r="565" spans="2:14" x14ac:dyDescent="0.15">
      <c r="B565" s="295" t="str">
        <f>"22304"</f>
        <v>22304</v>
      </c>
      <c r="C565" s="295" t="str">
        <f>"A2018/3258/MMG/SGG"</f>
        <v>A2018/3258/MMG/SGG</v>
      </c>
      <c r="D565" s="296" t="s">
        <v>2522</v>
      </c>
      <c r="E565" s="295" t="s">
        <v>78</v>
      </c>
      <c r="F565" s="295" t="s">
        <v>1769</v>
      </c>
      <c r="G565" s="295" t="s">
        <v>1565</v>
      </c>
      <c r="H565" s="295" t="s">
        <v>1565</v>
      </c>
      <c r="I565" s="297">
        <v>43151.484837962962</v>
      </c>
      <c r="J565" s="297">
        <v>43201</v>
      </c>
      <c r="K565" s="297">
        <v>43931</v>
      </c>
      <c r="L565" s="297">
        <v>43019</v>
      </c>
      <c r="M565" s="298" t="s">
        <v>2523</v>
      </c>
      <c r="N565" s="296" t="str">
        <f>"Guinee,Kindia,Dubreka,Dubréka"</f>
        <v>Guinee,Kindia,Dubreka,Dubréka</v>
      </c>
    </row>
    <row r="566" spans="2:14" x14ac:dyDescent="0.15">
      <c r="B566" s="295" t="str">
        <f>"22322"</f>
        <v>22322</v>
      </c>
      <c r="C566" s="295" t="str">
        <f>"A2018/3257/MMG/SGG"</f>
        <v>A2018/3257/MMG/SGG</v>
      </c>
      <c r="D566" s="296" t="s">
        <v>2524</v>
      </c>
      <c r="E566" s="295" t="s">
        <v>78</v>
      </c>
      <c r="F566" s="295" t="s">
        <v>1781</v>
      </c>
      <c r="G566" s="295" t="s">
        <v>1565</v>
      </c>
      <c r="H566" s="295" t="s">
        <v>1565</v>
      </c>
      <c r="I566" s="297">
        <v>43166.467256944445</v>
      </c>
      <c r="J566" s="297">
        <v>43201</v>
      </c>
      <c r="K566" s="297">
        <v>43931</v>
      </c>
      <c r="L566" s="297">
        <v>43025</v>
      </c>
      <c r="M566" s="298" t="s">
        <v>2525</v>
      </c>
      <c r="N566" s="296" t="str">
        <f>"Guinee,Boke,Gaoual,Kounsitel"</f>
        <v>Guinee,Boke,Gaoual,Kounsitel</v>
      </c>
    </row>
    <row r="567" spans="2:14" ht="27" x14ac:dyDescent="0.15">
      <c r="B567" s="295" t="str">
        <f>"22109"</f>
        <v>22109</v>
      </c>
      <c r="C567" s="295" t="str">
        <f>"A2018/1844/MMG/SGG"</f>
        <v>A2018/1844/MMG/SGG</v>
      </c>
      <c r="D567" s="296" t="s">
        <v>2526</v>
      </c>
      <c r="E567" s="295" t="s">
        <v>78</v>
      </c>
      <c r="F567" s="295" t="s">
        <v>1781</v>
      </c>
      <c r="G567" s="295" t="s">
        <v>1565</v>
      </c>
      <c r="H567" s="295" t="s">
        <v>1678</v>
      </c>
      <c r="I567" s="297">
        <v>42816.416909722226</v>
      </c>
      <c r="J567" s="297">
        <v>43182</v>
      </c>
      <c r="K567" s="297">
        <v>43912</v>
      </c>
      <c r="L567" s="297">
        <v>42781</v>
      </c>
      <c r="M567" s="298" t="s">
        <v>2527</v>
      </c>
      <c r="N567" s="296" t="str">
        <f>"Guinee,Mamou,Mamou,Bouliwel"</f>
        <v>Guinee,Mamou,Mamou,Bouliwel</v>
      </c>
    </row>
    <row r="568" spans="2:14" x14ac:dyDescent="0.15">
      <c r="B568" s="295" t="str">
        <f>"22306"</f>
        <v>22306</v>
      </c>
      <c r="C568" s="295" t="str">
        <f>"A2018/1842/MMG/SGG"</f>
        <v>A2018/1842/MMG/SGG</v>
      </c>
      <c r="D568" s="296" t="s">
        <v>2386</v>
      </c>
      <c r="E568" s="295" t="s">
        <v>78</v>
      </c>
      <c r="F568" s="295" t="s">
        <v>1769</v>
      </c>
      <c r="G568" s="295" t="s">
        <v>1565</v>
      </c>
      <c r="H568" s="295" t="s">
        <v>1565</v>
      </c>
      <c r="I568" s="297">
        <v>43154.470960648148</v>
      </c>
      <c r="J568" s="297">
        <v>43182</v>
      </c>
      <c r="K568" s="297">
        <v>43912</v>
      </c>
      <c r="L568" s="297">
        <v>43154</v>
      </c>
      <c r="M568" s="298" t="s">
        <v>2528</v>
      </c>
      <c r="N568" s="296" t="str">
        <f>"Guinee,Boke,Boke,Malapouyah"</f>
        <v>Guinee,Boke,Boke,Malapouyah</v>
      </c>
    </row>
    <row r="569" spans="2:14" x14ac:dyDescent="0.15">
      <c r="B569" s="295" t="str">
        <f>"22308"</f>
        <v>22308</v>
      </c>
      <c r="C569" s="295" t="str">
        <f>"A2018/1841/MMG/SGG"</f>
        <v>A2018/1841/MMG/SGG</v>
      </c>
      <c r="D569" s="296" t="s">
        <v>2529</v>
      </c>
      <c r="E569" s="295" t="s">
        <v>78</v>
      </c>
      <c r="F569" s="295" t="s">
        <v>1781</v>
      </c>
      <c r="G569" s="295" t="s">
        <v>1565</v>
      </c>
      <c r="H569" s="295" t="s">
        <v>1565</v>
      </c>
      <c r="I569" s="297">
        <v>43157.389409722222</v>
      </c>
      <c r="J569" s="297">
        <v>43182</v>
      </c>
      <c r="K569" s="297">
        <v>43912</v>
      </c>
      <c r="L569" s="297">
        <v>43090</v>
      </c>
      <c r="M569" s="298" t="s">
        <v>2530</v>
      </c>
      <c r="N569" s="296" t="str">
        <f>"Guinee,Boke,Boke,Boké-centre"</f>
        <v>Guinee,Boke,Boke,Boké-centre</v>
      </c>
    </row>
    <row r="570" spans="2:14" x14ac:dyDescent="0.15">
      <c r="B570" s="295" t="str">
        <f>"22303"</f>
        <v>22303</v>
      </c>
      <c r="C570" s="295" t="str">
        <f>"A2018/1840/MMG/SGG"</f>
        <v>A2018/1840/MMG/SGG</v>
      </c>
      <c r="D570" s="296" t="s">
        <v>2531</v>
      </c>
      <c r="E570" s="295" t="s">
        <v>78</v>
      </c>
      <c r="F570" s="295" t="s">
        <v>1781</v>
      </c>
      <c r="G570" s="295" t="s">
        <v>1565</v>
      </c>
      <c r="H570" s="295" t="s">
        <v>1565</v>
      </c>
      <c r="I570" s="297">
        <v>43146.664386574077</v>
      </c>
      <c r="J570" s="297">
        <v>43182</v>
      </c>
      <c r="K570" s="297">
        <v>43912</v>
      </c>
      <c r="L570" s="297">
        <v>43052</v>
      </c>
      <c r="M570" s="298" t="s">
        <v>2532</v>
      </c>
      <c r="N570" s="296" t="str">
        <f>"Guinee,Kindia,Coyah,Kouria"</f>
        <v>Guinee,Kindia,Coyah,Kouria</v>
      </c>
    </row>
    <row r="571" spans="2:14" ht="27" x14ac:dyDescent="0.15">
      <c r="B571" s="295" t="str">
        <f>"22289"</f>
        <v>22289</v>
      </c>
      <c r="C571" s="295" t="str">
        <f>"A2018/007/MMG/SGG"</f>
        <v>A2018/007/MMG/SGG</v>
      </c>
      <c r="D571" s="296" t="s">
        <v>2533</v>
      </c>
      <c r="E571" s="295" t="s">
        <v>254</v>
      </c>
      <c r="F571" s="295" t="s">
        <v>1568</v>
      </c>
      <c r="G571" s="295" t="s">
        <v>1565</v>
      </c>
      <c r="H571" s="295" t="s">
        <v>1873</v>
      </c>
      <c r="I571" s="297">
        <v>43096.483159722222</v>
      </c>
      <c r="J571" s="297">
        <v>43108</v>
      </c>
      <c r="K571" s="297">
        <v>44203</v>
      </c>
      <c r="L571" s="297">
        <v>43067</v>
      </c>
      <c r="M571" s="298" t="s">
        <v>2534</v>
      </c>
      <c r="N571" s="296" t="str">
        <f>"Guinee,Kindia,Telimele,Konsotami, Sinta, Sogolon, Tarihoye, Télimélé, Thionthian"</f>
        <v>Guinee,Kindia,Telimele,Konsotami, Sinta, Sogolon, Tarihoye, Télimélé, Thionthian</v>
      </c>
    </row>
    <row r="572" spans="2:14" ht="27" x14ac:dyDescent="0.15">
      <c r="B572" s="295" t="str">
        <f>"22283"</f>
        <v>22283</v>
      </c>
      <c r="C572" s="295" t="str">
        <f>"A2017/6792/MMG/SGG"</f>
        <v>A2017/6792/MMG/SGG</v>
      </c>
      <c r="D572" s="296" t="s">
        <v>2535</v>
      </c>
      <c r="E572" s="295" t="s">
        <v>1820</v>
      </c>
      <c r="F572" s="295" t="s">
        <v>640</v>
      </c>
      <c r="G572" s="295" t="s">
        <v>1565</v>
      </c>
      <c r="H572" s="295" t="s">
        <v>1565</v>
      </c>
      <c r="I572" s="297">
        <v>43084.45652777778</v>
      </c>
      <c r="J572" s="297">
        <v>43098</v>
      </c>
      <c r="K572" s="297">
        <v>44193</v>
      </c>
      <c r="L572" s="297">
        <v>43077</v>
      </c>
      <c r="M572" s="298" t="s">
        <v>2536</v>
      </c>
      <c r="N572" s="296" t="str">
        <f>"Guinee,N'Zerekore,Macenta,Kouankan"</f>
        <v>Guinee,N'Zerekore,Macenta,Kouankan</v>
      </c>
    </row>
    <row r="573" spans="2:14" ht="27" x14ac:dyDescent="0.15">
      <c r="B573" s="295" t="str">
        <f>"22277"</f>
        <v>22277</v>
      </c>
      <c r="C573" s="295" t="str">
        <f>"A2017/6715/MMG/SGG"</f>
        <v>A2017/6715/MMG/SGG</v>
      </c>
      <c r="D573" s="296" t="s">
        <v>2537</v>
      </c>
      <c r="E573" s="295" t="s">
        <v>78</v>
      </c>
      <c r="F573" s="295" t="s">
        <v>1769</v>
      </c>
      <c r="G573" s="295" t="s">
        <v>1565</v>
      </c>
      <c r="H573" s="295" t="s">
        <v>1678</v>
      </c>
      <c r="I573" s="297">
        <v>43076.548194444447</v>
      </c>
      <c r="J573" s="297">
        <v>43088</v>
      </c>
      <c r="K573" s="297">
        <v>44714</v>
      </c>
      <c r="L573" s="297">
        <v>43046</v>
      </c>
      <c r="M573" s="298" t="s">
        <v>2538</v>
      </c>
      <c r="N573" s="296" t="str">
        <f>"Guinee,N'Zerekore,N'Zerekore,Yalenzou"</f>
        <v>Guinee,N'Zerekore,N'Zerekore,Yalenzou</v>
      </c>
    </row>
    <row r="574" spans="2:14" ht="18.75" x14ac:dyDescent="0.15">
      <c r="B574" s="295" t="str">
        <f>"22266"</f>
        <v>22266</v>
      </c>
      <c r="C574" s="295" t="str">
        <f>"A2017/6655/MMG/SGG"</f>
        <v>A2017/6655/MMG/SGG</v>
      </c>
      <c r="D574" s="296" t="s">
        <v>2539</v>
      </c>
      <c r="E574" s="295" t="s">
        <v>154</v>
      </c>
      <c r="F574" s="295" t="s">
        <v>644</v>
      </c>
      <c r="G574" s="295" t="s">
        <v>1565</v>
      </c>
      <c r="H574" s="295" t="s">
        <v>1565</v>
      </c>
      <c r="I574" s="297">
        <v>43055.519016203703</v>
      </c>
      <c r="J574" s="297">
        <v>43080</v>
      </c>
      <c r="K574" s="297">
        <v>44175</v>
      </c>
      <c r="L574" s="297">
        <v>43039</v>
      </c>
      <c r="M574" s="298" t="s">
        <v>2540</v>
      </c>
      <c r="N574" s="296" t="str">
        <f>"Guinee,Kankan,Kankan,Gbérédou-Barana"</f>
        <v>Guinee,Kankan,Kankan,Gbérédou-Barana</v>
      </c>
    </row>
    <row r="575" spans="2:14" ht="27" x14ac:dyDescent="0.15">
      <c r="B575" s="295" t="str">
        <f>"22257"</f>
        <v>22257</v>
      </c>
      <c r="C575" s="295" t="str">
        <f>"A2017/6562/MMG/SGG"</f>
        <v>A2017/6562/MMG/SGG</v>
      </c>
      <c r="D575" s="296" t="s">
        <v>2518</v>
      </c>
      <c r="E575" s="295" t="s">
        <v>154</v>
      </c>
      <c r="F575" s="295" t="s">
        <v>644</v>
      </c>
      <c r="G575" s="295" t="s">
        <v>1565</v>
      </c>
      <c r="H575" s="295" t="s">
        <v>1678</v>
      </c>
      <c r="I575" s="297">
        <v>43046.656064814815</v>
      </c>
      <c r="J575" s="297">
        <v>43075</v>
      </c>
      <c r="K575" s="297">
        <v>44170</v>
      </c>
      <c r="L575" s="297">
        <v>43024</v>
      </c>
      <c r="M575" s="298" t="s">
        <v>2541</v>
      </c>
      <c r="N575" s="296" t="str">
        <f>"Guinee,Kankan,Siguiri,Niagassola"</f>
        <v>Guinee,Kankan,Siguiri,Niagassola</v>
      </c>
    </row>
    <row r="576" spans="2:14" ht="40.5" x14ac:dyDescent="0.15">
      <c r="B576" s="295" t="str">
        <f>"22244"</f>
        <v>22244</v>
      </c>
      <c r="C576" s="295" t="str">
        <f>"A2017/6310/MMG/SGG"</f>
        <v>A2017/6310/MMG/SGG</v>
      </c>
      <c r="D576" s="296" t="s">
        <v>2542</v>
      </c>
      <c r="E576" s="295" t="s">
        <v>78</v>
      </c>
      <c r="F576" s="295" t="s">
        <v>1781</v>
      </c>
      <c r="G576" s="295" t="s">
        <v>1565</v>
      </c>
      <c r="H576" s="295" t="s">
        <v>1565</v>
      </c>
      <c r="I576" s="297">
        <v>43035.589143518519</v>
      </c>
      <c r="J576" s="297">
        <v>43061</v>
      </c>
      <c r="K576" s="297">
        <v>45018</v>
      </c>
      <c r="L576" s="297">
        <v>43031</v>
      </c>
      <c r="M576" s="298" t="s">
        <v>2364</v>
      </c>
      <c r="N576" s="296" t="str">
        <f>"Guinee,Boke,Boke,Malapouyah"</f>
        <v>Guinee,Boke,Boke,Malapouyah</v>
      </c>
    </row>
    <row r="577" spans="2:14" ht="18.75" x14ac:dyDescent="0.15">
      <c r="B577" s="295" t="str">
        <f>"19445"</f>
        <v>19445</v>
      </c>
      <c r="C577" s="295" t="str">
        <f>"A2017/6308/MMG/SGG"</f>
        <v>A2017/6308/MMG/SGG</v>
      </c>
      <c r="D577" s="296" t="s">
        <v>1982</v>
      </c>
      <c r="E577" s="295" t="s">
        <v>154</v>
      </c>
      <c r="F577" s="295" t="s">
        <v>644</v>
      </c>
      <c r="G577" s="295" t="s">
        <v>1565</v>
      </c>
      <c r="H577" s="295" t="s">
        <v>1565</v>
      </c>
      <c r="I577" s="297">
        <v>42901.47283564815</v>
      </c>
      <c r="J577" s="297">
        <v>43061</v>
      </c>
      <c r="K577" s="297">
        <v>43425</v>
      </c>
      <c r="L577" s="297">
        <v>42044</v>
      </c>
      <c r="M577" s="298" t="s">
        <v>2543</v>
      </c>
      <c r="N577" s="296" t="str">
        <f>"Guinee,Kankan,Siguiri,Kintinian"</f>
        <v>Guinee,Kankan,Siguiri,Kintinian</v>
      </c>
    </row>
    <row r="578" spans="2:14" ht="18.75" x14ac:dyDescent="0.15">
      <c r="B578" s="295" t="str">
        <f>"19443"</f>
        <v>19443</v>
      </c>
      <c r="C578" s="295" t="str">
        <f>"A2017/6307/MMG/SGG"</f>
        <v>A2017/6307/MMG/SGG</v>
      </c>
      <c r="D578" s="296" t="s">
        <v>1982</v>
      </c>
      <c r="E578" s="295" t="s">
        <v>154</v>
      </c>
      <c r="F578" s="295" t="s">
        <v>644</v>
      </c>
      <c r="G578" s="295" t="s">
        <v>1565</v>
      </c>
      <c r="H578" s="295" t="s">
        <v>1565</v>
      </c>
      <c r="I578" s="297">
        <v>42952.490983796299</v>
      </c>
      <c r="J578" s="297">
        <v>43061</v>
      </c>
      <c r="K578" s="297">
        <v>43425</v>
      </c>
      <c r="L578" s="297">
        <v>42044</v>
      </c>
      <c r="M578" s="298" t="s">
        <v>2544</v>
      </c>
      <c r="N578" s="296" t="str">
        <f>"Guinee,Kankan,Siguiri,Kintinian"</f>
        <v>Guinee,Kankan,Siguiri,Kintinian</v>
      </c>
    </row>
    <row r="579" spans="2:14" ht="18.75" x14ac:dyDescent="0.15">
      <c r="B579" s="295" t="str">
        <f>"19446"</f>
        <v>19446</v>
      </c>
      <c r="C579" s="295" t="str">
        <f>"A2017/6305/MMG/SGG"</f>
        <v>A2017/6305/MMG/SGG</v>
      </c>
      <c r="D579" s="296" t="s">
        <v>1982</v>
      </c>
      <c r="E579" s="295" t="s">
        <v>154</v>
      </c>
      <c r="F579" s="295" t="s">
        <v>644</v>
      </c>
      <c r="G579" s="295" t="s">
        <v>1565</v>
      </c>
      <c r="H579" s="295" t="s">
        <v>1565</v>
      </c>
      <c r="I579" s="297"/>
      <c r="J579" s="297">
        <v>42311</v>
      </c>
      <c r="K579" s="297">
        <v>43406</v>
      </c>
      <c r="L579" s="297">
        <v>42044</v>
      </c>
      <c r="M579" s="298" t="s">
        <v>2545</v>
      </c>
      <c r="N579" s="296" t="str">
        <f>"Guinee,Kankan,Siguiri,Franwalia, Kintinian, Maléa"</f>
        <v>Guinee,Kankan,Siguiri,Franwalia, Kintinian, Maléa</v>
      </c>
    </row>
    <row r="580" spans="2:14" ht="18.75" x14ac:dyDescent="0.15">
      <c r="B580" s="295" t="str">
        <f>"21081"</f>
        <v>21081</v>
      </c>
      <c r="C580" s="295" t="str">
        <f>"A2017/5329/MMG/SGG"</f>
        <v>A2017/5329/MMG/SGG</v>
      </c>
      <c r="D580" s="296" t="s">
        <v>2546</v>
      </c>
      <c r="E580" s="295" t="s">
        <v>154</v>
      </c>
      <c r="F580" s="295" t="s">
        <v>644</v>
      </c>
      <c r="G580" s="295" t="s">
        <v>1565</v>
      </c>
      <c r="H580" s="295" t="s">
        <v>1565</v>
      </c>
      <c r="I580" s="297">
        <v>42941.53765046296</v>
      </c>
      <c r="J580" s="297">
        <v>44083</v>
      </c>
      <c r="K580" s="297">
        <v>44812</v>
      </c>
      <c r="L580" s="297">
        <v>44028</v>
      </c>
      <c r="M580" s="298" t="s">
        <v>2547</v>
      </c>
      <c r="N580" s="296" t="str">
        <f>"Guinee,Kankan,Siguiri,Doko, Niagassola"</f>
        <v>Guinee,Kankan,Siguiri,Doko, Niagassola</v>
      </c>
    </row>
    <row r="581" spans="2:14" ht="27" x14ac:dyDescent="0.15">
      <c r="B581" s="295" t="str">
        <f>"22373"</f>
        <v>22373</v>
      </c>
      <c r="C581" s="295" t="str">
        <f>"A2017/4902/MMG/SGG"</f>
        <v>A2017/4902/MMG/SGG</v>
      </c>
      <c r="D581" s="296" t="s">
        <v>2548</v>
      </c>
      <c r="E581" s="295" t="s">
        <v>78</v>
      </c>
      <c r="F581" s="295" t="s">
        <v>1769</v>
      </c>
      <c r="G581" s="295" t="s">
        <v>1565</v>
      </c>
      <c r="H581" s="295" t="s">
        <v>1678</v>
      </c>
      <c r="I581" s="297">
        <v>43250.415590277778</v>
      </c>
      <c r="J581" s="297">
        <v>43273</v>
      </c>
      <c r="K581" s="297">
        <v>44723</v>
      </c>
      <c r="L581" s="297">
        <v>43215</v>
      </c>
      <c r="M581" s="298" t="s">
        <v>2549</v>
      </c>
      <c r="N581" s="296" t="str">
        <f>"Guinee,Kindia,Dubreka,Khorira"</f>
        <v>Guinee,Kindia,Dubreka,Khorira</v>
      </c>
    </row>
    <row r="582" spans="2:14" x14ac:dyDescent="0.15">
      <c r="B582" s="295" t="str">
        <f>"22050"</f>
        <v>22050</v>
      </c>
      <c r="C582" s="295" t="str">
        <f>"A2017/429/MMG/SGG"</f>
        <v>A2017/429/MMG/SGG</v>
      </c>
      <c r="D582" s="296" t="s">
        <v>2550</v>
      </c>
      <c r="E582" s="295" t="s">
        <v>78</v>
      </c>
      <c r="F582" s="295" t="s">
        <v>1781</v>
      </c>
      <c r="G582" s="295" t="s">
        <v>1565</v>
      </c>
      <c r="H582" s="295" t="s">
        <v>1565</v>
      </c>
      <c r="I582" s="297">
        <v>42717.653935185182</v>
      </c>
      <c r="J582" s="297">
        <v>42780</v>
      </c>
      <c r="K582" s="297">
        <v>43509</v>
      </c>
      <c r="L582" s="297">
        <v>42705</v>
      </c>
      <c r="M582" s="298" t="s">
        <v>2551</v>
      </c>
      <c r="N582" s="296" t="str">
        <f>"Guinee,Boke,Boke,Boké-centre"</f>
        <v>Guinee,Boke,Boke,Boké-centre</v>
      </c>
    </row>
    <row r="583" spans="2:14" ht="18.75" x14ac:dyDescent="0.15">
      <c r="B583" s="295" t="str">
        <f>"22218"</f>
        <v>22218</v>
      </c>
      <c r="C583" s="295" t="str">
        <f>"A2017/3601/MMG/SGG"</f>
        <v>A2017/3601/MMG/SGG</v>
      </c>
      <c r="D583" s="296" t="s">
        <v>2552</v>
      </c>
      <c r="E583" s="295" t="s">
        <v>154</v>
      </c>
      <c r="F583" s="295" t="s">
        <v>644</v>
      </c>
      <c r="G583" s="295" t="s">
        <v>1565</v>
      </c>
      <c r="H583" s="295" t="s">
        <v>1565</v>
      </c>
      <c r="I583" s="297">
        <v>42985.458402777775</v>
      </c>
      <c r="J583" s="297">
        <v>42999</v>
      </c>
      <c r="K583" s="297">
        <v>44094</v>
      </c>
      <c r="L583" s="297">
        <v>42943</v>
      </c>
      <c r="M583" s="298" t="s">
        <v>2553</v>
      </c>
      <c r="N583" s="296" t="str">
        <f>"Guinee,Kankan,Siguiri,Niandankoro, Norassoba"</f>
        <v>Guinee,Kankan,Siguiri,Niandankoro, Norassoba</v>
      </c>
    </row>
    <row r="584" spans="2:14" ht="27" x14ac:dyDescent="0.15">
      <c r="B584" s="295" t="str">
        <f>"22195"</f>
        <v>22195</v>
      </c>
      <c r="C584" s="295" t="str">
        <f>"A2017/3599/MMG/SGG"</f>
        <v>A2017/3599/MMG/SGG</v>
      </c>
      <c r="D584" s="296" t="s">
        <v>2554</v>
      </c>
      <c r="E584" s="295" t="s">
        <v>1820</v>
      </c>
      <c r="F584" s="295" t="s">
        <v>640</v>
      </c>
      <c r="G584" s="295" t="s">
        <v>1565</v>
      </c>
      <c r="H584" s="295" t="s">
        <v>1565</v>
      </c>
      <c r="I584" s="297">
        <v>42955.582719907405</v>
      </c>
      <c r="J584" s="297">
        <v>42970</v>
      </c>
      <c r="K584" s="297">
        <v>44065</v>
      </c>
      <c r="L584" s="297">
        <v>42924</v>
      </c>
      <c r="M584" s="298" t="s">
        <v>2555</v>
      </c>
      <c r="N584" s="296" t="str">
        <f>"Guinee,N'Zerekore,Macenta,Binikala, Sengbédou, Vassérédou"</f>
        <v>Guinee,N'Zerekore,Macenta,Binikala, Sengbédou, Vassérédou</v>
      </c>
    </row>
    <row r="585" spans="2:14" x14ac:dyDescent="0.15">
      <c r="B585" s="295" t="str">
        <f>"22178"</f>
        <v>22178</v>
      </c>
      <c r="C585" s="295" t="str">
        <f>"A2017/3391/MMG/SGG"</f>
        <v>A2017/3391/MMG/SGG</v>
      </c>
      <c r="D585" s="296" t="s">
        <v>2556</v>
      </c>
      <c r="E585" s="295" t="s">
        <v>78</v>
      </c>
      <c r="F585" s="295" t="s">
        <v>1769</v>
      </c>
      <c r="G585" s="295" t="s">
        <v>1565</v>
      </c>
      <c r="H585" s="295" t="s">
        <v>1565</v>
      </c>
      <c r="I585" s="297">
        <v>42940.435833333337</v>
      </c>
      <c r="J585" s="297">
        <v>42951</v>
      </c>
      <c r="K585" s="297">
        <v>44449</v>
      </c>
      <c r="L585" s="297">
        <v>42940</v>
      </c>
      <c r="M585" s="298" t="s">
        <v>2557</v>
      </c>
      <c r="N585" s="296" t="str">
        <f>"Guinee,Kindia,Coyah,Kouria"</f>
        <v>Guinee,Kindia,Coyah,Kouria</v>
      </c>
    </row>
    <row r="586" spans="2:14" ht="27" x14ac:dyDescent="0.15">
      <c r="B586" s="295" t="str">
        <f>"22085"</f>
        <v>22085</v>
      </c>
      <c r="C586" s="295" t="str">
        <f>"A2017/3197/MMG/SGG"</f>
        <v>A2017/3197/MMG/SGG</v>
      </c>
      <c r="D586" s="296" t="s">
        <v>2558</v>
      </c>
      <c r="E586" s="295" t="s">
        <v>78</v>
      </c>
      <c r="F586" s="295" t="s">
        <v>1769</v>
      </c>
      <c r="G586" s="295" t="s">
        <v>1565</v>
      </c>
      <c r="H586" s="295" t="s">
        <v>1565</v>
      </c>
      <c r="I586" s="297">
        <v>42774.553564814814</v>
      </c>
      <c r="J586" s="297">
        <v>42935</v>
      </c>
      <c r="K586" s="297">
        <v>43664</v>
      </c>
      <c r="L586" s="297">
        <v>42724</v>
      </c>
      <c r="M586" s="298" t="s">
        <v>2559</v>
      </c>
      <c r="N586" s="296" t="str">
        <f>"Guinee,Boke,Boke,Boké-centre"</f>
        <v>Guinee,Boke,Boke,Boké-centre</v>
      </c>
    </row>
    <row r="587" spans="2:14" ht="18.75" x14ac:dyDescent="0.15">
      <c r="B587" s="295" t="str">
        <f>"22165"</f>
        <v>22165</v>
      </c>
      <c r="C587" s="295" t="str">
        <f>"A2017/3195/MMG/SGG"</f>
        <v>A2017/3195/MMG/SGG</v>
      </c>
      <c r="D587" s="296" t="s">
        <v>2560</v>
      </c>
      <c r="E587" s="295" t="s">
        <v>154</v>
      </c>
      <c r="F587" s="295" t="s">
        <v>644</v>
      </c>
      <c r="G587" s="295" t="s">
        <v>1565</v>
      </c>
      <c r="H587" s="295" t="s">
        <v>1565</v>
      </c>
      <c r="I587" s="297">
        <v>42914.729201388887</v>
      </c>
      <c r="J587" s="297">
        <v>42935</v>
      </c>
      <c r="K587" s="297">
        <v>44030</v>
      </c>
      <c r="L587" s="297">
        <v>42906</v>
      </c>
      <c r="M587" s="298" t="s">
        <v>2561</v>
      </c>
      <c r="N587" s="296" t="str">
        <f>"Guinee,Faranah,Dinguiraye,Gagnakaly"</f>
        <v>Guinee,Faranah,Dinguiraye,Gagnakaly</v>
      </c>
    </row>
    <row r="588" spans="2:14" ht="18.75" x14ac:dyDescent="0.15">
      <c r="B588" s="295" t="str">
        <f>"22161"</f>
        <v>22161</v>
      </c>
      <c r="C588" s="295" t="str">
        <f>"A2017/3186/MMG/SGG"</f>
        <v>A2017/3186/MMG/SGG</v>
      </c>
      <c r="D588" s="296" t="s">
        <v>2562</v>
      </c>
      <c r="E588" s="295" t="s">
        <v>154</v>
      </c>
      <c r="F588" s="295" t="s">
        <v>644</v>
      </c>
      <c r="G588" s="295" t="s">
        <v>1565</v>
      </c>
      <c r="H588" s="295" t="s">
        <v>1565</v>
      </c>
      <c r="I588" s="297">
        <v>42907.789143518516</v>
      </c>
      <c r="J588" s="297">
        <v>42935</v>
      </c>
      <c r="K588" s="297">
        <v>44030</v>
      </c>
      <c r="L588" s="297">
        <v>42906</v>
      </c>
      <c r="M588" s="298" t="s">
        <v>2563</v>
      </c>
      <c r="N588" s="296" t="str">
        <f>"Guinee,Faranah,Dinguiraye,Gagnakaly, Lansanaya"</f>
        <v>Guinee,Faranah,Dinguiraye,Gagnakaly, Lansanaya</v>
      </c>
    </row>
    <row r="589" spans="2:14" ht="27" x14ac:dyDescent="0.15">
      <c r="B589" s="295" t="str">
        <f>"22120"</f>
        <v>22120</v>
      </c>
      <c r="C589" s="295" t="str">
        <f>"A2017/2180/MMG/SGG"</f>
        <v>A2017/2180/MMG/SGG</v>
      </c>
      <c r="D589" s="296" t="s">
        <v>2529</v>
      </c>
      <c r="E589" s="295" t="s">
        <v>78</v>
      </c>
      <c r="F589" s="295" t="s">
        <v>1781</v>
      </c>
      <c r="G589" s="295" t="s">
        <v>1565</v>
      </c>
      <c r="H589" s="295" t="s">
        <v>1678</v>
      </c>
      <c r="I589" s="297">
        <v>42831.5312037037</v>
      </c>
      <c r="J589" s="297">
        <v>42919</v>
      </c>
      <c r="K589" s="297">
        <v>43648</v>
      </c>
      <c r="L589" s="297">
        <v>42815</v>
      </c>
      <c r="M589" s="298" t="s">
        <v>2564</v>
      </c>
      <c r="N589" s="296" t="str">
        <f>"Guinee,Boke,Boke,Boké-centre"</f>
        <v>Guinee,Boke,Boke,Boké-centre</v>
      </c>
    </row>
    <row r="590" spans="2:14" ht="27" x14ac:dyDescent="0.15">
      <c r="B590" s="295" t="str">
        <f>"22130"</f>
        <v>22130</v>
      </c>
      <c r="C590" s="295" t="str">
        <f>"A2017/2177/MMG/SGG"</f>
        <v>A2017/2177/MMG/SGG</v>
      </c>
      <c r="D590" s="296" t="s">
        <v>2565</v>
      </c>
      <c r="E590" s="295" t="s">
        <v>1820</v>
      </c>
      <c r="F590" s="295" t="s">
        <v>640</v>
      </c>
      <c r="G590" s="295" t="s">
        <v>1565</v>
      </c>
      <c r="H590" s="295" t="s">
        <v>1678</v>
      </c>
      <c r="I590" s="297">
        <v>42835.55369212963</v>
      </c>
      <c r="J590" s="297">
        <v>42919</v>
      </c>
      <c r="K590" s="297">
        <v>44014</v>
      </c>
      <c r="L590" s="297">
        <v>42832</v>
      </c>
      <c r="M590" s="298" t="s">
        <v>2566</v>
      </c>
      <c r="N590" s="296" t="str">
        <f>"Guinee,Faranah,Kissidougo,Bardou, Kondiadou; N'Zerekore,Macenta,Watanka"</f>
        <v>Guinee,Faranah,Kissidougo,Bardou, Kondiadou; N'Zerekore,Macenta,Watanka</v>
      </c>
    </row>
    <row r="591" spans="2:14" ht="27" x14ac:dyDescent="0.15">
      <c r="B591" s="295" t="str">
        <f>"22151"</f>
        <v>22151</v>
      </c>
      <c r="C591" s="295" t="str">
        <f>"A2017/2175/MMG/SGG"</f>
        <v>A2017/2175/MMG/SGG</v>
      </c>
      <c r="D591" s="296" t="s">
        <v>2567</v>
      </c>
      <c r="E591" s="295" t="s">
        <v>78</v>
      </c>
      <c r="F591" s="295" t="s">
        <v>1769</v>
      </c>
      <c r="G591" s="295" t="s">
        <v>1565</v>
      </c>
      <c r="H591" s="295" t="s">
        <v>1565</v>
      </c>
      <c r="I591" s="297">
        <v>42887.470567129632</v>
      </c>
      <c r="J591" s="297">
        <v>42919</v>
      </c>
      <c r="K591" s="297">
        <v>43648</v>
      </c>
      <c r="L591" s="297">
        <v>42828</v>
      </c>
      <c r="M591" s="298" t="s">
        <v>2568</v>
      </c>
      <c r="N591" s="296" t="str">
        <f>"Guinee,Boke,Boke,Tanéné"</f>
        <v>Guinee,Boke,Boke,Tanéné</v>
      </c>
    </row>
    <row r="592" spans="2:14" x14ac:dyDescent="0.15">
      <c r="B592" s="295" t="str">
        <f>"22407"</f>
        <v>22407</v>
      </c>
      <c r="C592" s="295" t="str">
        <f>"A2017/1776/MMG/SGG"</f>
        <v>A2017/1776/MMG/SGG</v>
      </c>
      <c r="D592" s="296" t="s">
        <v>1644</v>
      </c>
      <c r="E592" s="295" t="s">
        <v>78</v>
      </c>
      <c r="F592" s="295" t="s">
        <v>1769</v>
      </c>
      <c r="G592" s="295" t="s">
        <v>1565</v>
      </c>
      <c r="H592" s="295" t="s">
        <v>1565</v>
      </c>
      <c r="I592" s="297">
        <v>42860.540462962963</v>
      </c>
      <c r="J592" s="297">
        <v>42874</v>
      </c>
      <c r="K592" s="297">
        <v>43603</v>
      </c>
      <c r="L592" s="297">
        <v>42870</v>
      </c>
      <c r="M592" s="298" t="s">
        <v>2569</v>
      </c>
      <c r="N592" s="296" t="str">
        <f>"Guinee,Boke,Boffa,Tamita"</f>
        <v>Guinee,Boke,Boffa,Tamita</v>
      </c>
    </row>
    <row r="593" spans="2:14" ht="27" x14ac:dyDescent="0.15">
      <c r="B593" s="295" t="str">
        <f>"22113"</f>
        <v>22113</v>
      </c>
      <c r="C593" s="295" t="str">
        <f>"A2017/1312/MMG/SGG "</f>
        <v xml:space="preserve">A2017/1312/MMG/SGG </v>
      </c>
      <c r="D593" s="296" t="s">
        <v>2570</v>
      </c>
      <c r="E593" s="295" t="s">
        <v>1820</v>
      </c>
      <c r="F593" s="295" t="s">
        <v>640</v>
      </c>
      <c r="G593" s="295" t="s">
        <v>1565</v>
      </c>
      <c r="H593" s="295" t="s">
        <v>1565</v>
      </c>
      <c r="I593" s="297">
        <v>42824.464328703703</v>
      </c>
      <c r="J593" s="297">
        <v>42832</v>
      </c>
      <c r="K593" s="297">
        <v>43927</v>
      </c>
      <c r="L593" s="297">
        <v>42821</v>
      </c>
      <c r="M593" s="298" t="s">
        <v>2571</v>
      </c>
      <c r="N593" s="296" t="str">
        <f>"Guinee,Kankan,Kerouane,Soromaya"</f>
        <v>Guinee,Kankan,Kerouane,Soromaya</v>
      </c>
    </row>
    <row r="594" spans="2:14" x14ac:dyDescent="0.15">
      <c r="B594" s="295" t="str">
        <f>"22106"</f>
        <v>22106</v>
      </c>
      <c r="C594" s="295" t="str">
        <f>"A2017/1275/MMG/SGG"</f>
        <v>A2017/1275/MMG/SGG</v>
      </c>
      <c r="D594" s="296" t="s">
        <v>2572</v>
      </c>
      <c r="E594" s="295" t="s">
        <v>78</v>
      </c>
      <c r="F594" s="295" t="s">
        <v>1769</v>
      </c>
      <c r="G594" s="295" t="s">
        <v>1565</v>
      </c>
      <c r="H594" s="295" t="s">
        <v>1565</v>
      </c>
      <c r="I594" s="297">
        <v>42810.593819444446</v>
      </c>
      <c r="J594" s="297">
        <v>42829</v>
      </c>
      <c r="K594" s="297">
        <v>44561</v>
      </c>
      <c r="L594" s="297">
        <v>42780</v>
      </c>
      <c r="M594" s="298" t="s">
        <v>2573</v>
      </c>
      <c r="N594" s="296" t="str">
        <f>"Guinee,Kindia,Dubreka,Khorira"</f>
        <v>Guinee,Kindia,Dubreka,Khorira</v>
      </c>
    </row>
    <row r="595" spans="2:14" x14ac:dyDescent="0.15">
      <c r="B595" s="295" t="str">
        <f>"22098"</f>
        <v>22098</v>
      </c>
      <c r="C595" s="295" t="str">
        <f>"A2017/1241/MMG/SGG"</f>
        <v>A2017/1241/MMG/SGG</v>
      </c>
      <c r="D595" s="296" t="s">
        <v>2574</v>
      </c>
      <c r="E595" s="295" t="s">
        <v>78</v>
      </c>
      <c r="F595" s="295" t="s">
        <v>1769</v>
      </c>
      <c r="G595" s="295" t="s">
        <v>1565</v>
      </c>
      <c r="H595" s="295" t="s">
        <v>1565</v>
      </c>
      <c r="I595" s="297">
        <v>42801.511516203704</v>
      </c>
      <c r="J595" s="297">
        <v>42825</v>
      </c>
      <c r="K595" s="297">
        <v>45512</v>
      </c>
      <c r="L595" s="297">
        <v>42745</v>
      </c>
      <c r="M595" s="298" t="s">
        <v>2575</v>
      </c>
      <c r="N595" s="296" t="str">
        <f>"Guinee,Kindia,Coyah,Wonkifong"</f>
        <v>Guinee,Kindia,Coyah,Wonkifong</v>
      </c>
    </row>
    <row r="596" spans="2:14" ht="27" x14ac:dyDescent="0.15">
      <c r="B596" s="295" t="str">
        <f>"22093"</f>
        <v>22093</v>
      </c>
      <c r="C596" s="295" t="str">
        <f>"A2017/1240/MMG/SGG "</f>
        <v xml:space="preserve">A2017/1240/MMG/SGG </v>
      </c>
      <c r="D596" s="296" t="s">
        <v>2576</v>
      </c>
      <c r="E596" s="295" t="s">
        <v>78</v>
      </c>
      <c r="F596" s="295" t="s">
        <v>1781</v>
      </c>
      <c r="G596" s="295" t="s">
        <v>1565</v>
      </c>
      <c r="H596" s="295" t="s">
        <v>1678</v>
      </c>
      <c r="I596" s="297">
        <v>42795.448576388888</v>
      </c>
      <c r="J596" s="297">
        <v>42825</v>
      </c>
      <c r="K596" s="297">
        <v>43554</v>
      </c>
      <c r="L596" s="297">
        <v>42790</v>
      </c>
      <c r="M596" s="298" t="s">
        <v>2577</v>
      </c>
      <c r="N596" s="296" t="str">
        <f>"Guinee,Boke,Boke,Malapouyah"</f>
        <v>Guinee,Boke,Boke,Malapouyah</v>
      </c>
    </row>
    <row r="597" spans="2:14" ht="27" x14ac:dyDescent="0.15">
      <c r="B597" s="295" t="str">
        <f>"22078"</f>
        <v>22078</v>
      </c>
      <c r="C597" s="295" t="str">
        <f>"A2017/040/MMG/SGG"</f>
        <v>A2017/040/MMG/SGG</v>
      </c>
      <c r="D597" s="296" t="s">
        <v>2578</v>
      </c>
      <c r="E597" s="295" t="s">
        <v>78</v>
      </c>
      <c r="F597" s="295" t="s">
        <v>1781</v>
      </c>
      <c r="G597" s="295" t="s">
        <v>1565</v>
      </c>
      <c r="H597" s="295" t="s">
        <v>1565</v>
      </c>
      <c r="I597" s="297">
        <v>42745.670324074075</v>
      </c>
      <c r="J597" s="297">
        <v>42748</v>
      </c>
      <c r="K597" s="297">
        <v>44231</v>
      </c>
      <c r="L597" s="297">
        <v>42723</v>
      </c>
      <c r="M597" s="298" t="s">
        <v>2579</v>
      </c>
      <c r="N597" s="296" t="str">
        <f>"Guinee,Boke,Boke,Dabiss"</f>
        <v>Guinee,Boke,Boke,Dabiss</v>
      </c>
    </row>
    <row r="598" spans="2:14" ht="27" x14ac:dyDescent="0.15">
      <c r="B598" s="295" t="str">
        <f>"22076"</f>
        <v>22076</v>
      </c>
      <c r="C598" s="295" t="str">
        <f>"A2017/027/MMG/SGG"</f>
        <v>A2017/027/MMG/SGG</v>
      </c>
      <c r="D598" s="296" t="s">
        <v>2580</v>
      </c>
      <c r="E598" s="295" t="s">
        <v>78</v>
      </c>
      <c r="F598" s="295" t="s">
        <v>1769</v>
      </c>
      <c r="G598" s="295" t="s">
        <v>1565</v>
      </c>
      <c r="H598" s="295" t="s">
        <v>1565</v>
      </c>
      <c r="I598" s="297">
        <v>42745.465405092589</v>
      </c>
      <c r="J598" s="297">
        <v>42748</v>
      </c>
      <c r="K598" s="297">
        <v>43477</v>
      </c>
      <c r="L598" s="297">
        <v>42727</v>
      </c>
      <c r="M598" s="298" t="s">
        <v>2581</v>
      </c>
      <c r="N598" s="296" t="str">
        <f>"Guinee,Labe,Labe,Kaalan"</f>
        <v>Guinee,Labe,Labe,Kaalan</v>
      </c>
    </row>
    <row r="599" spans="2:14" ht="27" x14ac:dyDescent="0.15">
      <c r="B599" s="295" t="str">
        <f>"22058"</f>
        <v>22058</v>
      </c>
      <c r="C599" s="295" t="str">
        <f>"A2017/017/MMG/SGG "</f>
        <v xml:space="preserve">A2017/017/MMG/SGG </v>
      </c>
      <c r="D599" s="296" t="s">
        <v>2139</v>
      </c>
      <c r="E599" s="295" t="s">
        <v>1820</v>
      </c>
      <c r="F599" s="295" t="s">
        <v>640</v>
      </c>
      <c r="G599" s="295" t="s">
        <v>1565</v>
      </c>
      <c r="H599" s="295" t="s">
        <v>1678</v>
      </c>
      <c r="I599" s="297">
        <v>42731.590775462966</v>
      </c>
      <c r="J599" s="297">
        <v>42748</v>
      </c>
      <c r="K599" s="297">
        <v>43842</v>
      </c>
      <c r="L599" s="297">
        <v>42725</v>
      </c>
      <c r="M599" s="298" t="s">
        <v>2582</v>
      </c>
      <c r="N599" s="296" t="str">
        <f>"Guinee,Kankan,Kerouane,Banankoro, Soromaya"</f>
        <v>Guinee,Kankan,Kerouane,Banankoro, Soromaya</v>
      </c>
    </row>
    <row r="600" spans="2:14" ht="27" x14ac:dyDescent="0.15">
      <c r="B600" s="295" t="str">
        <f>"21087"</f>
        <v>21087</v>
      </c>
      <c r="C600" s="295" t="str">
        <f>"A2016/7420/MMG/SGG"</f>
        <v>A2016/7420/MMG/SGG</v>
      </c>
      <c r="D600" s="296" t="s">
        <v>2546</v>
      </c>
      <c r="E600" s="295" t="s">
        <v>154</v>
      </c>
      <c r="F600" s="295" t="s">
        <v>644</v>
      </c>
      <c r="G600" s="295" t="s">
        <v>1565</v>
      </c>
      <c r="H600" s="295" t="s">
        <v>1678</v>
      </c>
      <c r="I600" s="297">
        <v>42576.582280092596</v>
      </c>
      <c r="J600" s="297">
        <v>42713</v>
      </c>
      <c r="K600" s="297">
        <v>43068</v>
      </c>
      <c r="L600" s="297">
        <v>41484</v>
      </c>
      <c r="M600" s="298" t="s">
        <v>2583</v>
      </c>
      <c r="N600" s="296" t="str">
        <f>"Guinee,Kankan,Mandiana,Faralako"</f>
        <v>Guinee,Kankan,Mandiana,Faralako</v>
      </c>
    </row>
    <row r="601" spans="2:14" ht="18.75" x14ac:dyDescent="0.15">
      <c r="B601" s="295" t="str">
        <f>"21085"</f>
        <v>21085</v>
      </c>
      <c r="C601" s="295" t="str">
        <f>"A2016/7417//MMG/SGG"</f>
        <v>A2016/7417//MMG/SGG</v>
      </c>
      <c r="D601" s="296" t="s">
        <v>2546</v>
      </c>
      <c r="E601" s="295" t="s">
        <v>154</v>
      </c>
      <c r="F601" s="295" t="s">
        <v>644</v>
      </c>
      <c r="G601" s="295" t="s">
        <v>1565</v>
      </c>
      <c r="H601" s="295" t="s">
        <v>1565</v>
      </c>
      <c r="I601" s="297">
        <v>42576.579675925925</v>
      </c>
      <c r="J601" s="297">
        <v>42713</v>
      </c>
      <c r="K601" s="297">
        <v>44053</v>
      </c>
      <c r="L601" s="297">
        <v>41484</v>
      </c>
      <c r="M601" s="298" t="s">
        <v>2584</v>
      </c>
      <c r="N601" s="296" t="str">
        <f>"Guinee,Kankan,Mandiana,Morodou, Niantanina"</f>
        <v>Guinee,Kankan,Mandiana,Morodou, Niantanina</v>
      </c>
    </row>
    <row r="602" spans="2:14" ht="27" x14ac:dyDescent="0.15">
      <c r="B602" s="295" t="str">
        <f>"21979"</f>
        <v>21979</v>
      </c>
      <c r="C602" s="295" t="str">
        <f>"A2016/6481/MMG/SGG"</f>
        <v>A2016/6481/MMG/SGG</v>
      </c>
      <c r="D602" s="296" t="s">
        <v>143</v>
      </c>
      <c r="E602" s="295" t="s">
        <v>78</v>
      </c>
      <c r="F602" s="295" t="s">
        <v>1769</v>
      </c>
      <c r="G602" s="295" t="s">
        <v>1565</v>
      </c>
      <c r="H602" s="295" t="s">
        <v>1678</v>
      </c>
      <c r="I602" s="297">
        <v>42500.399247685185</v>
      </c>
      <c r="J602" s="297">
        <v>42671</v>
      </c>
      <c r="K602" s="297">
        <v>44903</v>
      </c>
      <c r="L602" s="297">
        <v>42500</v>
      </c>
      <c r="M602" s="298" t="s">
        <v>2585</v>
      </c>
      <c r="N602" s="296" t="str">
        <f>"Guinee,Boke,Boke,Boké-centre"</f>
        <v>Guinee,Boke,Boke,Boké-centre</v>
      </c>
    </row>
    <row r="603" spans="2:14" ht="18.75" x14ac:dyDescent="0.15">
      <c r="B603" s="295" t="str">
        <f>"20949"</f>
        <v>20949</v>
      </c>
      <c r="C603" s="295" t="str">
        <f>"A2016/1336/MMG/CAB"</f>
        <v>A2016/1336/MMG/CAB</v>
      </c>
      <c r="D603" s="296" t="s">
        <v>2586</v>
      </c>
      <c r="E603" s="295" t="s">
        <v>78</v>
      </c>
      <c r="F603" s="295" t="s">
        <v>1781</v>
      </c>
      <c r="G603" s="295" t="s">
        <v>1565</v>
      </c>
      <c r="H603" s="295" t="s">
        <v>1565</v>
      </c>
      <c r="I603" s="297">
        <v>42373</v>
      </c>
      <c r="J603" s="297">
        <v>42485</v>
      </c>
      <c r="K603" s="297">
        <v>43214</v>
      </c>
      <c r="L603" s="297">
        <v>42373</v>
      </c>
      <c r="M603" s="298" t="s">
        <v>2587</v>
      </c>
      <c r="N603" s="296" t="str">
        <f>"Guinee,Boke,Boffa,Douprou"</f>
        <v>Guinee,Boke,Boffa,Douprou</v>
      </c>
    </row>
    <row r="604" spans="2:14" ht="27" x14ac:dyDescent="0.15">
      <c r="B604" s="295" t="str">
        <f>"19963"</f>
        <v>19963</v>
      </c>
      <c r="C604" s="295" t="str">
        <f>"A2016/105/PRG/SGG"</f>
        <v>A2016/105/PRG/SGG</v>
      </c>
      <c r="D604" s="296" t="s">
        <v>1677</v>
      </c>
      <c r="E604" s="295" t="s">
        <v>124</v>
      </c>
      <c r="F604" s="295" t="s">
        <v>644</v>
      </c>
      <c r="G604" s="295" t="s">
        <v>1565</v>
      </c>
      <c r="H604" s="295" t="s">
        <v>1678</v>
      </c>
      <c r="I604" s="297"/>
      <c r="J604" s="297">
        <v>42459</v>
      </c>
      <c r="K604" s="297">
        <v>44284</v>
      </c>
      <c r="L604" s="297">
        <v>42156</v>
      </c>
      <c r="M604" s="298" t="s">
        <v>2588</v>
      </c>
      <c r="N604" s="296" t="str">
        <f>"Guinee,Kankan,Siguiri,Doko"</f>
        <v>Guinee,Kankan,Siguiri,Doko</v>
      </c>
    </row>
    <row r="605" spans="2:14" ht="27" x14ac:dyDescent="0.15">
      <c r="B605" s="295" t="str">
        <f>"20386"</f>
        <v>20386</v>
      </c>
      <c r="C605" s="295" t="str">
        <f>"A2015/6525/MMG/SG"</f>
        <v>A2015/6525/MMG/SG</v>
      </c>
      <c r="D605" s="296" t="s">
        <v>2589</v>
      </c>
      <c r="E605" s="295" t="s">
        <v>1820</v>
      </c>
      <c r="F605" s="295" t="s">
        <v>640</v>
      </c>
      <c r="G605" s="295" t="s">
        <v>1565</v>
      </c>
      <c r="H605" s="295" t="s">
        <v>1873</v>
      </c>
      <c r="I605" s="297">
        <v>44869.728032407409</v>
      </c>
      <c r="J605" s="297">
        <v>42355</v>
      </c>
      <c r="K605" s="297">
        <v>43450</v>
      </c>
      <c r="L605" s="297">
        <v>42318</v>
      </c>
      <c r="M605" s="298" t="s">
        <v>2590</v>
      </c>
      <c r="N605" s="296" t="str">
        <f>"Guinee,Kankan,Kerouane,Soromaya"</f>
        <v>Guinee,Kankan,Kerouane,Soromaya</v>
      </c>
    </row>
    <row r="606" spans="2:14" ht="27" x14ac:dyDescent="0.15">
      <c r="B606" s="295" t="str">
        <f>"20401"</f>
        <v>20401</v>
      </c>
      <c r="C606" s="295" t="str">
        <f>"A2015/6469/MMG/SGG"</f>
        <v>A2015/6469/MMG/SGG</v>
      </c>
      <c r="D606" s="296" t="s">
        <v>2589</v>
      </c>
      <c r="E606" s="295" t="s">
        <v>1820</v>
      </c>
      <c r="F606" s="295" t="s">
        <v>640</v>
      </c>
      <c r="G606" s="295" t="s">
        <v>1565</v>
      </c>
      <c r="H606" s="295" t="s">
        <v>1873</v>
      </c>
      <c r="I606" s="297">
        <v>44869.729108796295</v>
      </c>
      <c r="J606" s="297">
        <v>42355</v>
      </c>
      <c r="K606" s="297">
        <v>43450</v>
      </c>
      <c r="L606" s="297">
        <v>42318</v>
      </c>
      <c r="M606" s="298" t="s">
        <v>2591</v>
      </c>
      <c r="N606" s="296" t="str">
        <f>"Guinee,Kankan,Kankan,Mamouroudou; Kerouane,Komodou, Soromaya"</f>
        <v>Guinee,Kankan,Kankan,Mamouroudou; Kerouane,Komodou, Soromaya</v>
      </c>
    </row>
    <row r="607" spans="2:14" x14ac:dyDescent="0.15">
      <c r="B607" s="295" t="str">
        <f>"21950"</f>
        <v>21950</v>
      </c>
      <c r="C607" s="295" t="str">
        <f>"A2015/6397/MMG/CAB"</f>
        <v>A2015/6397/MMG/CAB</v>
      </c>
      <c r="D607" s="296" t="s">
        <v>2592</v>
      </c>
      <c r="E607" s="295" t="s">
        <v>78</v>
      </c>
      <c r="F607" s="295" t="s">
        <v>1781</v>
      </c>
      <c r="G607" s="295" t="s">
        <v>1565</v>
      </c>
      <c r="H607" s="295" t="s">
        <v>1565</v>
      </c>
      <c r="I607" s="297">
        <v>42273.584953703707</v>
      </c>
      <c r="J607" s="297">
        <v>42366</v>
      </c>
      <c r="K607" s="297">
        <v>43096</v>
      </c>
      <c r="L607" s="297">
        <v>42273</v>
      </c>
      <c r="M607" s="298" t="s">
        <v>2593</v>
      </c>
      <c r="N607" s="296" t="str">
        <f>"Guinee,Boke,Boffa,Tougnifily"</f>
        <v>Guinee,Boke,Boffa,Tougnifily</v>
      </c>
    </row>
    <row r="608" spans="2:14" ht="18.75" x14ac:dyDescent="0.15">
      <c r="B608" s="295" t="str">
        <f>"20053"</f>
        <v>20053</v>
      </c>
      <c r="C608" s="295" t="str">
        <f>"A2015/5737/MMG/SGG"</f>
        <v>A2015/5737/MMG/SGG</v>
      </c>
      <c r="D608" s="296" t="s">
        <v>1582</v>
      </c>
      <c r="E608" s="295" t="s">
        <v>254</v>
      </c>
      <c r="F608" s="295" t="s">
        <v>1568</v>
      </c>
      <c r="G608" s="295" t="s">
        <v>1565</v>
      </c>
      <c r="H608" s="295" t="s">
        <v>1565</v>
      </c>
      <c r="I608" s="297">
        <v>42254.540081018517</v>
      </c>
      <c r="J608" s="297">
        <v>42304</v>
      </c>
      <c r="K608" s="297">
        <v>43399</v>
      </c>
      <c r="L608" s="297">
        <v>42254</v>
      </c>
      <c r="M608" s="298" t="s">
        <v>2594</v>
      </c>
      <c r="N608" s="296" t="str">
        <f>"Guinee,Boke,Boffa,Kolia; Boke,Bintimodia, Kolaboui, Malapouyah"</f>
        <v>Guinee,Boke,Boffa,Kolia; Boke,Bintimodia, Kolaboui, Malapouyah</v>
      </c>
    </row>
    <row r="609" spans="2:14" ht="27" x14ac:dyDescent="0.15">
      <c r="B609" s="295" t="str">
        <f>"12031"</f>
        <v>12031</v>
      </c>
      <c r="C609" s="295" t="str">
        <f>"A2015/5736//MMG/SGG"</f>
        <v>A2015/5736//MMG/SGG</v>
      </c>
      <c r="D609" s="296" t="s">
        <v>2595</v>
      </c>
      <c r="E609" s="295" t="s">
        <v>72</v>
      </c>
      <c r="F609" s="295" t="s">
        <v>640</v>
      </c>
      <c r="G609" s="295" t="s">
        <v>1565</v>
      </c>
      <c r="H609" s="295" t="s">
        <v>1565</v>
      </c>
      <c r="I609" s="297"/>
      <c r="J609" s="297">
        <v>42304</v>
      </c>
      <c r="K609" s="297">
        <v>44130</v>
      </c>
      <c r="L609" s="297">
        <v>42067</v>
      </c>
      <c r="M609" s="298" t="s">
        <v>2596</v>
      </c>
      <c r="N609" s="296" t="str">
        <f>"Guinee,Kankan,Kerouane,Banankoro"</f>
        <v>Guinee,Kankan,Kerouane,Banankoro</v>
      </c>
    </row>
    <row r="610" spans="2:14" x14ac:dyDescent="0.15">
      <c r="B610" s="295" t="str">
        <f>"20958"</f>
        <v>20958</v>
      </c>
      <c r="C610" s="295" t="str">
        <f>"A2015/5560/MMG/CAB"</f>
        <v>A2015/5560/MMG/CAB</v>
      </c>
      <c r="D610" s="296" t="s">
        <v>1736</v>
      </c>
      <c r="E610" s="295" t="s">
        <v>78</v>
      </c>
      <c r="F610" s="295" t="s">
        <v>1769</v>
      </c>
      <c r="G610" s="295" t="s">
        <v>1565</v>
      </c>
      <c r="H610" s="295" t="s">
        <v>1565</v>
      </c>
      <c r="I610" s="297">
        <v>42151</v>
      </c>
      <c r="J610" s="297">
        <v>42285</v>
      </c>
      <c r="K610" s="297">
        <v>43015</v>
      </c>
      <c r="L610" s="297">
        <v>42151</v>
      </c>
      <c r="M610" s="298" t="s">
        <v>2597</v>
      </c>
      <c r="N610" s="296" t="str">
        <f>"Guinee,N'Zerekore,Beyla,Boola"</f>
        <v>Guinee,N'Zerekore,Beyla,Boola</v>
      </c>
    </row>
    <row r="611" spans="2:14" ht="18.75" x14ac:dyDescent="0.15">
      <c r="B611" s="295" t="str">
        <f>"17932"</f>
        <v>17932</v>
      </c>
      <c r="C611" s="295" t="str">
        <f>"A2013/686/MMG/SGG"</f>
        <v>A2013/686/MMG/SGG</v>
      </c>
      <c r="D611" s="296" t="s">
        <v>361</v>
      </c>
      <c r="E611" s="295" t="s">
        <v>72</v>
      </c>
      <c r="F611" s="295" t="s">
        <v>1814</v>
      </c>
      <c r="G611" s="295" t="s">
        <v>1565</v>
      </c>
      <c r="H611" s="295" t="s">
        <v>2598</v>
      </c>
      <c r="I611" s="297">
        <v>41359.640844907408</v>
      </c>
      <c r="J611" s="297">
        <v>41359</v>
      </c>
      <c r="K611" s="297">
        <v>45010</v>
      </c>
      <c r="L611" s="297">
        <v>41347</v>
      </c>
      <c r="M611" s="298" t="s">
        <v>2599</v>
      </c>
      <c r="N611" s="296" t="str">
        <f>"Guinee,Kindia,Kindia,Madina-Oula, Souguéta"</f>
        <v>Guinee,Kindia,Kindia,Madina-Oula, Souguéta</v>
      </c>
    </row>
    <row r="612" spans="2:14" ht="27" x14ac:dyDescent="0.15">
      <c r="B612" s="295" t="str">
        <f>"18031"</f>
        <v>18031</v>
      </c>
      <c r="C612" s="295" t="str">
        <f>"A2013/6643/MMG/SGG"</f>
        <v>A2013/6643/MMG/SGG</v>
      </c>
      <c r="D612" s="296" t="s">
        <v>598</v>
      </c>
      <c r="E612" s="295" t="s">
        <v>254</v>
      </c>
      <c r="F612" s="295" t="s">
        <v>1568</v>
      </c>
      <c r="G612" s="295" t="s">
        <v>1565</v>
      </c>
      <c r="H612" s="295" t="s">
        <v>1565</v>
      </c>
      <c r="I612" s="297"/>
      <c r="J612" s="297">
        <v>41638</v>
      </c>
      <c r="K612" s="297">
        <v>42733</v>
      </c>
      <c r="L612" s="297">
        <v>41467</v>
      </c>
      <c r="M612" s="298" t="s">
        <v>2600</v>
      </c>
      <c r="N612" s="296" t="str">
        <f>"Guinee,Kindia,Telimele,Gougoudjé; Mamou,Pita,Donghol-Touma, Ley-Miro, Sangaréah"</f>
        <v>Guinee,Kindia,Telimele,Gougoudjé; Mamou,Pita,Donghol-Touma, Ley-Miro, Sangaréah</v>
      </c>
    </row>
    <row r="613" spans="2:14" ht="27" x14ac:dyDescent="0.15">
      <c r="B613" s="295" t="str">
        <f>"22022"</f>
        <v>22022</v>
      </c>
      <c r="C613" s="295" t="str">
        <f>"A2013/6639/MMG/SGG "</f>
        <v xml:space="preserve">A2013/6639/MMG/SGG </v>
      </c>
      <c r="D613" s="296" t="s">
        <v>2601</v>
      </c>
      <c r="E613" s="295" t="s">
        <v>154</v>
      </c>
      <c r="F613" s="295" t="s">
        <v>644</v>
      </c>
      <c r="G613" s="295" t="s">
        <v>1565</v>
      </c>
      <c r="H613" s="295" t="s">
        <v>1873</v>
      </c>
      <c r="I613" s="297">
        <v>42671</v>
      </c>
      <c r="J613" s="297">
        <v>42692</v>
      </c>
      <c r="K613" s="297">
        <v>43786</v>
      </c>
      <c r="L613" s="297">
        <v>42667</v>
      </c>
      <c r="M613" s="298" t="s">
        <v>2602</v>
      </c>
      <c r="N613" s="296" t="str">
        <f>"Guinee,Kankan,Mandiana,Sansando"</f>
        <v>Guinee,Kankan,Mandiana,Sansando</v>
      </c>
    </row>
    <row r="614" spans="2:14" ht="18.75" x14ac:dyDescent="0.15">
      <c r="B614" s="295" t="str">
        <f>"15355"</f>
        <v>15355</v>
      </c>
      <c r="C614" s="295" t="str">
        <f>"A2013/544/MMG/SGG"</f>
        <v>A2013/544/MMG/SGG</v>
      </c>
      <c r="D614" s="296" t="s">
        <v>2603</v>
      </c>
      <c r="E614" s="295" t="s">
        <v>124</v>
      </c>
      <c r="F614" s="295" t="s">
        <v>640</v>
      </c>
      <c r="G614" s="295" t="s">
        <v>1565</v>
      </c>
      <c r="H614" s="295" t="s">
        <v>1565</v>
      </c>
      <c r="I614" s="297">
        <v>41275.56454861111</v>
      </c>
      <c r="J614" s="297">
        <v>41351</v>
      </c>
      <c r="K614" s="297">
        <v>43176</v>
      </c>
      <c r="L614" s="297">
        <v>41275</v>
      </c>
      <c r="M614" s="298" t="s">
        <v>2604</v>
      </c>
      <c r="N614" s="296" t="str">
        <f>"Guinee,Kankan,Kerouane,Banankoro, Sibiribaro"</f>
        <v>Guinee,Kankan,Kerouane,Banankoro, Sibiribaro</v>
      </c>
    </row>
    <row r="615" spans="2:14" ht="18.75" x14ac:dyDescent="0.15">
      <c r="B615" s="295" t="str">
        <f>"15356"</f>
        <v>15356</v>
      </c>
      <c r="C615" s="295" t="str">
        <f>"A2013/544/MMG/SGG"</f>
        <v>A2013/544/MMG/SGG</v>
      </c>
      <c r="D615" s="296" t="s">
        <v>2603</v>
      </c>
      <c r="E615" s="295" t="s">
        <v>124</v>
      </c>
      <c r="F615" s="295" t="s">
        <v>640</v>
      </c>
      <c r="G615" s="295" t="s">
        <v>1565</v>
      </c>
      <c r="H615" s="295" t="s">
        <v>1565</v>
      </c>
      <c r="I615" s="297"/>
      <c r="J615" s="297">
        <v>41351</v>
      </c>
      <c r="K615" s="297">
        <v>43176</v>
      </c>
      <c r="L615" s="297">
        <v>41275</v>
      </c>
      <c r="M615" s="298" t="s">
        <v>2605</v>
      </c>
      <c r="N615" s="296" t="str">
        <f>"Guinee,Kankan,Kankan,Mamouroudou"</f>
        <v>Guinee,Kankan,Kankan,Mamouroudou</v>
      </c>
    </row>
    <row r="616" spans="2:14" ht="18.75" x14ac:dyDescent="0.15">
      <c r="B616" s="295" t="str">
        <f>"17921"</f>
        <v>17921</v>
      </c>
      <c r="C616" s="295" t="str">
        <f>"A2013/5017/MMG/SGG"</f>
        <v>A2013/5017/MMG/SGG</v>
      </c>
      <c r="D616" s="296" t="s">
        <v>2185</v>
      </c>
      <c r="E616" s="295" t="s">
        <v>124</v>
      </c>
      <c r="F616" s="295" t="s">
        <v>640</v>
      </c>
      <c r="G616" s="295" t="s">
        <v>1565</v>
      </c>
      <c r="H616" s="295" t="s">
        <v>1565</v>
      </c>
      <c r="I616" s="297"/>
      <c r="J616" s="297">
        <v>41565</v>
      </c>
      <c r="K616" s="297">
        <v>43390</v>
      </c>
      <c r="L616" s="297">
        <v>41326</v>
      </c>
      <c r="M616" s="298" t="s">
        <v>2606</v>
      </c>
      <c r="N616" s="296" t="str">
        <f>"Guinee,Kankan,Kerouane,Kérouané-centre"</f>
        <v>Guinee,Kankan,Kerouane,Kérouané-centre</v>
      </c>
    </row>
    <row r="617" spans="2:14" ht="18.75" x14ac:dyDescent="0.15">
      <c r="B617" s="295" t="str">
        <f>"17922"</f>
        <v>17922</v>
      </c>
      <c r="C617" s="295" t="str">
        <f>"A2013/5017/MMG/SGG"</f>
        <v>A2013/5017/MMG/SGG</v>
      </c>
      <c r="D617" s="296" t="s">
        <v>2185</v>
      </c>
      <c r="E617" s="295" t="s">
        <v>124</v>
      </c>
      <c r="F617" s="295" t="s">
        <v>640</v>
      </c>
      <c r="G617" s="295" t="s">
        <v>1565</v>
      </c>
      <c r="H617" s="295" t="s">
        <v>1565</v>
      </c>
      <c r="I617" s="297"/>
      <c r="J617" s="297">
        <v>41565</v>
      </c>
      <c r="K617" s="297">
        <v>43390</v>
      </c>
      <c r="L617" s="297">
        <v>41326</v>
      </c>
      <c r="M617" s="298" t="s">
        <v>2607</v>
      </c>
      <c r="N617" s="296" t="str">
        <f>"Guinee,Kankan,Kerouane,Banankoro, Kérouané-centre"</f>
        <v>Guinee,Kankan,Kerouane,Banankoro, Kérouané-centre</v>
      </c>
    </row>
    <row r="618" spans="2:14" x14ac:dyDescent="0.15">
      <c r="B618" s="295" t="str">
        <f>"20955"</f>
        <v>20955</v>
      </c>
      <c r="C618" s="295" t="str">
        <f>"A2013/4528/MMG/CAB"</f>
        <v>A2013/4528/MMG/CAB</v>
      </c>
      <c r="D618" s="296" t="s">
        <v>2608</v>
      </c>
      <c r="E618" s="295" t="s">
        <v>78</v>
      </c>
      <c r="F618" s="295" t="s">
        <v>1781</v>
      </c>
      <c r="G618" s="295" t="s">
        <v>1565</v>
      </c>
      <c r="H618" s="295" t="s">
        <v>1565</v>
      </c>
      <c r="I618" s="297">
        <v>41498</v>
      </c>
      <c r="J618" s="297">
        <v>41521</v>
      </c>
      <c r="K618" s="297">
        <v>43222</v>
      </c>
      <c r="L618" s="297">
        <v>41498</v>
      </c>
      <c r="M618" s="298" t="s">
        <v>2609</v>
      </c>
      <c r="N618" s="296" t="str">
        <f>"Guinee,Mamou,Mamou,Bouliwel"</f>
        <v>Guinee,Mamou,Mamou,Bouliwel</v>
      </c>
    </row>
    <row r="619" spans="2:14" ht="18.75" x14ac:dyDescent="0.15">
      <c r="B619" s="295" t="str">
        <f>"15850"</f>
        <v>15850</v>
      </c>
      <c r="C619" s="295" t="str">
        <f>"A2011/1032/MMG/SGG"</f>
        <v>A2011/1032/MMG/SGG</v>
      </c>
      <c r="D619" s="296" t="s">
        <v>2185</v>
      </c>
      <c r="E619" s="295" t="s">
        <v>72</v>
      </c>
      <c r="F619" s="295" t="s">
        <v>640</v>
      </c>
      <c r="G619" s="295" t="s">
        <v>1565</v>
      </c>
      <c r="H619" s="295" t="s">
        <v>1565</v>
      </c>
      <c r="I619" s="297"/>
      <c r="J619" s="297">
        <v>40613</v>
      </c>
      <c r="K619" s="297">
        <v>44265</v>
      </c>
      <c r="L619" s="297">
        <v>39480</v>
      </c>
      <c r="M619" s="298" t="s">
        <v>2610</v>
      </c>
      <c r="N619" s="296" t="str">
        <f>"Guinee,Kankan,Kerouane,Kérouané-centre"</f>
        <v>Guinee,Kankan,Kerouane,Kérouané-centre</v>
      </c>
    </row>
    <row r="620" spans="2:14" ht="18.75" x14ac:dyDescent="0.15">
      <c r="B620" s="295" t="str">
        <f>"15851"</f>
        <v>15851</v>
      </c>
      <c r="C620" s="295" t="str">
        <f>"A2011/1032/MMG/SGG"</f>
        <v>A2011/1032/MMG/SGG</v>
      </c>
      <c r="D620" s="296" t="s">
        <v>2185</v>
      </c>
      <c r="E620" s="295" t="s">
        <v>72</v>
      </c>
      <c r="F620" s="295" t="s">
        <v>640</v>
      </c>
      <c r="G620" s="295" t="s">
        <v>1565</v>
      </c>
      <c r="H620" s="295" t="s">
        <v>1565</v>
      </c>
      <c r="I620" s="297"/>
      <c r="J620" s="297">
        <v>40613</v>
      </c>
      <c r="K620" s="297">
        <v>44265</v>
      </c>
      <c r="L620" s="297">
        <v>39480</v>
      </c>
      <c r="M620" s="298" t="s">
        <v>2611</v>
      </c>
      <c r="N620" s="296" t="str">
        <f>"Guinee,Kankan,Kerouane,Kérouané-centre"</f>
        <v>Guinee,Kankan,Kerouane,Kérouané-centre</v>
      </c>
    </row>
    <row r="621" spans="2:14" ht="18.75" x14ac:dyDescent="0.15">
      <c r="B621" s="295" t="str">
        <f>"15852"</f>
        <v>15852</v>
      </c>
      <c r="C621" s="295" t="str">
        <f>"A2011/1032/MMG/SGG"</f>
        <v>A2011/1032/MMG/SGG</v>
      </c>
      <c r="D621" s="296" t="s">
        <v>2185</v>
      </c>
      <c r="E621" s="295" t="s">
        <v>72</v>
      </c>
      <c r="F621" s="295" t="s">
        <v>640</v>
      </c>
      <c r="G621" s="295" t="s">
        <v>1565</v>
      </c>
      <c r="H621" s="295" t="s">
        <v>1565</v>
      </c>
      <c r="I621" s="297"/>
      <c r="J621" s="297">
        <v>40613</v>
      </c>
      <c r="K621" s="297">
        <v>44265</v>
      </c>
      <c r="L621" s="297">
        <v>39480</v>
      </c>
      <c r="M621" s="298" t="s">
        <v>2612</v>
      </c>
      <c r="N621" s="296" t="str">
        <f>"Guinee,Kankan,Kerouane,Soromaya"</f>
        <v>Guinee,Kankan,Kerouane,Soromaya</v>
      </c>
    </row>
    <row r="622" spans="2:14" ht="18.75" x14ac:dyDescent="0.15">
      <c r="B622" s="295" t="str">
        <f>"15853"</f>
        <v>15853</v>
      </c>
      <c r="C622" s="295" t="str">
        <f>"A2011/1032/MMG/SGG"</f>
        <v>A2011/1032/MMG/SGG</v>
      </c>
      <c r="D622" s="296" t="s">
        <v>2185</v>
      </c>
      <c r="E622" s="295" t="s">
        <v>72</v>
      </c>
      <c r="F622" s="295" t="s">
        <v>640</v>
      </c>
      <c r="G622" s="295" t="s">
        <v>1565</v>
      </c>
      <c r="H622" s="295" t="s">
        <v>1565</v>
      </c>
      <c r="I622" s="297"/>
      <c r="J622" s="297">
        <v>40613</v>
      </c>
      <c r="K622" s="297">
        <v>44265</v>
      </c>
      <c r="L622" s="297">
        <v>39480</v>
      </c>
      <c r="M622" s="298" t="s">
        <v>2613</v>
      </c>
      <c r="N622" s="296" t="str">
        <f>"Guinee,Kankan,Kerouane,Kérouané-centre"</f>
        <v>Guinee,Kankan,Kerouane,Kérouané-centre</v>
      </c>
    </row>
    <row r="623" spans="2:14" ht="18.75" x14ac:dyDescent="0.15">
      <c r="B623" s="295" t="str">
        <f>"15854"</f>
        <v>15854</v>
      </c>
      <c r="C623" s="295" t="str">
        <f>"A2011/1032/MMG/SGG"</f>
        <v>A2011/1032/MMG/SGG</v>
      </c>
      <c r="D623" s="296" t="s">
        <v>2185</v>
      </c>
      <c r="E623" s="295" t="s">
        <v>72</v>
      </c>
      <c r="F623" s="295" t="s">
        <v>640</v>
      </c>
      <c r="G623" s="295" t="s">
        <v>1565</v>
      </c>
      <c r="H623" s="295" t="s">
        <v>1565</v>
      </c>
      <c r="I623" s="297"/>
      <c r="J623" s="297">
        <v>40613</v>
      </c>
      <c r="K623" s="297">
        <v>44265</v>
      </c>
      <c r="L623" s="297">
        <v>39480</v>
      </c>
      <c r="M623" s="298" t="s">
        <v>2614</v>
      </c>
      <c r="N623" s="296" t="str">
        <f>"Guinee,Kankan,Kerouane,Kérouané-centre"</f>
        <v>Guinee,Kankan,Kerouane,Kérouané-centre</v>
      </c>
    </row>
    <row r="624" spans="2:14" ht="27" x14ac:dyDescent="0.15">
      <c r="B624" s="295" t="str">
        <f>"15387"</f>
        <v>15387</v>
      </c>
      <c r="C624" s="295" t="str">
        <f>"A2010/2475/MMG/SGG"</f>
        <v>A2010/2475/MMG/SGG</v>
      </c>
      <c r="D624" s="296" t="s">
        <v>2615</v>
      </c>
      <c r="E624" s="295" t="s">
        <v>1820</v>
      </c>
      <c r="F624" s="295" t="s">
        <v>640</v>
      </c>
      <c r="G624" s="295" t="s">
        <v>1565</v>
      </c>
      <c r="H624" s="295" t="s">
        <v>1678</v>
      </c>
      <c r="I624" s="297"/>
      <c r="J624" s="297">
        <v>40354</v>
      </c>
      <c r="K624" s="297">
        <v>41084</v>
      </c>
      <c r="L624" s="297">
        <v>40310</v>
      </c>
      <c r="M624" s="298" t="s">
        <v>2616</v>
      </c>
      <c r="N624" s="296" t="str">
        <f>"Guinee,Kankan,Kerouane,Komodou, Soromaya"</f>
        <v>Guinee,Kankan,Kerouane,Komodou, Soromaya</v>
      </c>
    </row>
    <row r="625" spans="2:14" ht="18.75" x14ac:dyDescent="0.15">
      <c r="B625" s="295" t="str">
        <f>"14871"</f>
        <v>14871</v>
      </c>
      <c r="C625" s="295" t="str">
        <f>"A2010/2408/MMG/SGG"</f>
        <v>A2010/2408/MMG/SGG</v>
      </c>
      <c r="D625" s="296" t="s">
        <v>2617</v>
      </c>
      <c r="E625" s="295" t="s">
        <v>72</v>
      </c>
      <c r="F625" s="295" t="s">
        <v>640</v>
      </c>
      <c r="G625" s="295" t="s">
        <v>1565</v>
      </c>
      <c r="H625" s="295" t="s">
        <v>1565</v>
      </c>
      <c r="I625" s="297"/>
      <c r="J625" s="297">
        <v>40444</v>
      </c>
      <c r="K625" s="297">
        <v>44096</v>
      </c>
      <c r="L625" s="297">
        <v>39453</v>
      </c>
      <c r="M625" s="298" t="s">
        <v>2618</v>
      </c>
      <c r="N625" s="296" t="str">
        <f>"Guinee,Kankan,Kerouane,Soromaya"</f>
        <v>Guinee,Kankan,Kerouane,Soromaya</v>
      </c>
    </row>
    <row r="626" spans="2:14" ht="27" x14ac:dyDescent="0.15">
      <c r="B626" s="295" t="str">
        <f>"634"</f>
        <v>634</v>
      </c>
      <c r="C626" s="295" t="str">
        <f>"A2006/7449/MMG/SGG"</f>
        <v>A2006/7449/MMG/SGG</v>
      </c>
      <c r="D626" s="296" t="s">
        <v>2619</v>
      </c>
      <c r="E626" s="295" t="s">
        <v>1628</v>
      </c>
      <c r="F626" s="295" t="s">
        <v>1613</v>
      </c>
      <c r="G626" s="295" t="s">
        <v>1565</v>
      </c>
      <c r="H626" s="295" t="s">
        <v>1565</v>
      </c>
      <c r="I626" s="297">
        <v>36948.595370370371</v>
      </c>
      <c r="J626" s="297">
        <v>37026</v>
      </c>
      <c r="K626" s="297">
        <v>38851</v>
      </c>
      <c r="L626" s="297">
        <v>36948</v>
      </c>
      <c r="M626" s="298" t="s">
        <v>2620</v>
      </c>
      <c r="N626" s="296" t="str">
        <f>"Guinee,Kankan,Kerouane,Banankoro, Sibiribaro"</f>
        <v>Guinee,Kankan,Kerouane,Banankoro, Sibiribaro</v>
      </c>
    </row>
    <row r="627" spans="2:14" ht="18.75" x14ac:dyDescent="0.15">
      <c r="B627" s="295" t="str">
        <f>"8730"</f>
        <v>8730</v>
      </c>
      <c r="C627" s="295" t="str">
        <f>"A2005/6072/MMG/SGG"</f>
        <v>A2005/6072/MMG/SGG</v>
      </c>
      <c r="D627" s="296" t="s">
        <v>2621</v>
      </c>
      <c r="E627" s="295" t="s">
        <v>1628</v>
      </c>
      <c r="F627" s="295" t="s">
        <v>640</v>
      </c>
      <c r="G627" s="295" t="s">
        <v>1565</v>
      </c>
      <c r="H627" s="295" t="s">
        <v>1565</v>
      </c>
      <c r="I627" s="297">
        <v>38664.507939814815</v>
      </c>
      <c r="J627" s="297">
        <v>38713</v>
      </c>
      <c r="K627" s="297">
        <v>40538</v>
      </c>
      <c r="L627" s="297">
        <v>38664</v>
      </c>
      <c r="M627" s="298" t="s">
        <v>2622</v>
      </c>
      <c r="N627" s="296" t="str">
        <f>"Guinee,N'Zerekore,Macenta,Binikala, Bofossou"</f>
        <v>Guinee,N'Zerekore,Macenta,Binikala, Bofossou</v>
      </c>
    </row>
    <row r="628" spans="2:14" ht="27" x14ac:dyDescent="0.15">
      <c r="B628" s="295" t="str">
        <f>"724"</f>
        <v>724</v>
      </c>
      <c r="C628" s="295" t="str">
        <f>"A2001/5008/MMGE/SGG"</f>
        <v>A2001/5008/MMGE/SGG</v>
      </c>
      <c r="D628" s="296" t="s">
        <v>1733</v>
      </c>
      <c r="E628" s="295" t="s">
        <v>68</v>
      </c>
      <c r="F628" s="295" t="s">
        <v>1568</v>
      </c>
      <c r="G628" s="295" t="s">
        <v>1565</v>
      </c>
      <c r="H628" s="295" t="s">
        <v>1565</v>
      </c>
      <c r="I628" s="297"/>
      <c r="J628" s="297">
        <v>37209</v>
      </c>
      <c r="K628" s="297">
        <v>40860</v>
      </c>
      <c r="L628" s="297">
        <v>37068</v>
      </c>
      <c r="M628" s="298" t="s">
        <v>2623</v>
      </c>
      <c r="N628" s="296" t="str">
        <f>"Guinee,Kindia,Kindia,Damakania, Friguiagbé, Kindia-centre, Mambia, Molota, Samaya"</f>
        <v>Guinee,Kindia,Kindia,Damakania, Friguiagbé, Kindia-centre, Mambia, Molota, Samaya</v>
      </c>
    </row>
    <row r="629" spans="2:14" ht="18.75" x14ac:dyDescent="0.15">
      <c r="B629" s="295" t="str">
        <f>"23108"</f>
        <v>23108</v>
      </c>
      <c r="C629" s="295" t="str">
        <f>"A/2021/853/MMG/SGG"</f>
        <v>A/2021/853/MMG/SGG</v>
      </c>
      <c r="D629" s="296" t="s">
        <v>1790</v>
      </c>
      <c r="E629" s="295" t="s">
        <v>154</v>
      </c>
      <c r="F629" s="295" t="s">
        <v>644</v>
      </c>
      <c r="G629" s="295" t="s">
        <v>1565</v>
      </c>
      <c r="H629" s="295" t="s">
        <v>1565</v>
      </c>
      <c r="I629" s="297">
        <v>44307.435671296298</v>
      </c>
      <c r="J629" s="297">
        <v>44315</v>
      </c>
      <c r="K629" s="297">
        <v>45410</v>
      </c>
      <c r="L629" s="297">
        <v>44299</v>
      </c>
      <c r="M629" s="298" t="s">
        <v>2624</v>
      </c>
      <c r="N629" s="296" t="str">
        <f>"Guinee,Kankan,Kouroussa,Komola-khoura"</f>
        <v>Guinee,Kankan,Kouroussa,Komola-khoura</v>
      </c>
    </row>
    <row r="630" spans="2:14" ht="18.75" x14ac:dyDescent="0.15">
      <c r="B630" s="295" t="str">
        <f>"23111"</f>
        <v>23111</v>
      </c>
      <c r="C630" s="295" t="str">
        <f>"A/2021/851/MMG/SGG"</f>
        <v>A/2021/851/MMG/SGG</v>
      </c>
      <c r="D630" s="296" t="s">
        <v>1790</v>
      </c>
      <c r="E630" s="295" t="s">
        <v>154</v>
      </c>
      <c r="F630" s="295" t="s">
        <v>644</v>
      </c>
      <c r="G630" s="295" t="s">
        <v>1565</v>
      </c>
      <c r="H630" s="295" t="s">
        <v>1565</v>
      </c>
      <c r="I630" s="297">
        <v>44307.500023148146</v>
      </c>
      <c r="J630" s="297">
        <v>44315</v>
      </c>
      <c r="K630" s="297">
        <v>45410</v>
      </c>
      <c r="L630" s="297">
        <v>44299</v>
      </c>
      <c r="M630" s="298" t="s">
        <v>2625</v>
      </c>
      <c r="N630" s="296" t="str">
        <f>"Guinee,Kankan,Mandiana,Koundian, Morodou"</f>
        <v>Guinee,Kankan,Mandiana,Koundian, Morodou</v>
      </c>
    </row>
    <row r="631" spans="2:14" ht="18.75" x14ac:dyDescent="0.15">
      <c r="B631" s="295" t="str">
        <f>"23112"</f>
        <v>23112</v>
      </c>
      <c r="C631" s="295" t="str">
        <f>"A/2021/850/MMG/SGG"</f>
        <v>A/2021/850/MMG/SGG</v>
      </c>
      <c r="D631" s="296" t="s">
        <v>1790</v>
      </c>
      <c r="E631" s="295" t="s">
        <v>154</v>
      </c>
      <c r="F631" s="295" t="s">
        <v>644</v>
      </c>
      <c r="G631" s="295" t="s">
        <v>1565</v>
      </c>
      <c r="H631" s="295" t="s">
        <v>1565</v>
      </c>
      <c r="I631" s="297">
        <v>44307.534351851849</v>
      </c>
      <c r="J631" s="297">
        <v>44315</v>
      </c>
      <c r="K631" s="297">
        <v>45410</v>
      </c>
      <c r="L631" s="297">
        <v>44299</v>
      </c>
      <c r="M631" s="298" t="s">
        <v>2626</v>
      </c>
      <c r="N631" s="296" t="str">
        <f>"Guinee,Kankan,Kankan,Baté-Nafadji; Mandiana,Sansando"</f>
        <v>Guinee,Kankan,Kankan,Baté-Nafadji; Mandiana,Sansando</v>
      </c>
    </row>
    <row r="632" spans="2:14" ht="18.75" x14ac:dyDescent="0.15">
      <c r="B632" s="295" t="str">
        <f>"23080"</f>
        <v>23080</v>
      </c>
      <c r="C632" s="295" t="str">
        <f>"A/2021/606/MMG/SGG"</f>
        <v>A/2021/606/MMG/SGG</v>
      </c>
      <c r="D632" s="296" t="s">
        <v>2627</v>
      </c>
      <c r="E632" s="295" t="s">
        <v>154</v>
      </c>
      <c r="F632" s="295" t="s">
        <v>644</v>
      </c>
      <c r="G632" s="295" t="s">
        <v>1565</v>
      </c>
      <c r="H632" s="295" t="s">
        <v>1565</v>
      </c>
      <c r="I632" s="297">
        <v>44270.649918981479</v>
      </c>
      <c r="J632" s="297">
        <v>44294</v>
      </c>
      <c r="K632" s="297">
        <v>45389</v>
      </c>
      <c r="L632" s="297">
        <v>44259</v>
      </c>
      <c r="M632" s="298" t="s">
        <v>2628</v>
      </c>
      <c r="N632" s="296" t="str">
        <f>"Guinee,Kankan,Siguiri,Niagassola"</f>
        <v>Guinee,Kankan,Siguiri,Niagassola</v>
      </c>
    </row>
    <row r="633" spans="2:14" ht="18.75" x14ac:dyDescent="0.15">
      <c r="B633" s="295" t="str">
        <f>"23058"</f>
        <v>23058</v>
      </c>
      <c r="C633" s="295" t="str">
        <f>"A/2021/325/MMG/SGG"</f>
        <v>A/2021/325/MMG/SGG</v>
      </c>
      <c r="D633" s="296" t="s">
        <v>2629</v>
      </c>
      <c r="E633" s="295" t="s">
        <v>154</v>
      </c>
      <c r="F633" s="295" t="s">
        <v>644</v>
      </c>
      <c r="G633" s="295" t="s">
        <v>1565</v>
      </c>
      <c r="H633" s="295" t="s">
        <v>1565</v>
      </c>
      <c r="I633" s="297">
        <v>44236.500324074077</v>
      </c>
      <c r="J633" s="297">
        <v>44271</v>
      </c>
      <c r="K633" s="297">
        <v>45366</v>
      </c>
      <c r="L633" s="297">
        <v>44215</v>
      </c>
      <c r="M633" s="298" t="s">
        <v>2630</v>
      </c>
      <c r="N633" s="296" t="str">
        <f>"Guinee,Kankan,Mandiana,Dialokoro; Siguiri,Siguiri-centre"</f>
        <v>Guinee,Kankan,Mandiana,Dialokoro; Siguiri,Siguiri-centre</v>
      </c>
    </row>
    <row r="634" spans="2:14" ht="27" x14ac:dyDescent="0.15">
      <c r="B634" s="295" t="str">
        <f>"22352"</f>
        <v>22352</v>
      </c>
      <c r="C634" s="295" t="str">
        <f>"A/2021/2348/MMG/SGG"</f>
        <v>A/2021/2348/MMG/SGG</v>
      </c>
      <c r="D634" s="296" t="s">
        <v>1806</v>
      </c>
      <c r="E634" s="295" t="s">
        <v>154</v>
      </c>
      <c r="F634" s="295" t="s">
        <v>644</v>
      </c>
      <c r="G634" s="295" t="s">
        <v>1565</v>
      </c>
      <c r="H634" s="295" t="s">
        <v>1678</v>
      </c>
      <c r="I634" s="297">
        <v>43224.678726851853</v>
      </c>
      <c r="J634" s="297">
        <v>43273</v>
      </c>
      <c r="K634" s="297">
        <v>45163</v>
      </c>
      <c r="L634" s="297">
        <v>43202</v>
      </c>
      <c r="M634" s="298" t="s">
        <v>2631</v>
      </c>
      <c r="N634" s="296" t="str">
        <f>"Guinee,Kankan,Mandiana,Koundian, Mandiana-centre, Morodou"</f>
        <v>Guinee,Kankan,Mandiana,Koundian, Mandiana-centre, Morodou</v>
      </c>
    </row>
    <row r="635" spans="2:14" ht="18.75" x14ac:dyDescent="0.15">
      <c r="B635" s="295" t="str">
        <f>"22302"</f>
        <v>22302</v>
      </c>
      <c r="C635" s="295" t="str">
        <f>"A/2021/2346/MMG/SGG"</f>
        <v>A/2021/2346/MMG/SGG</v>
      </c>
      <c r="D635" s="296" t="s">
        <v>2632</v>
      </c>
      <c r="E635" s="295" t="s">
        <v>154</v>
      </c>
      <c r="F635" s="295" t="s">
        <v>644</v>
      </c>
      <c r="G635" s="295" t="s">
        <v>1565</v>
      </c>
      <c r="H635" s="295" t="s">
        <v>1565</v>
      </c>
      <c r="I635" s="297">
        <v>43143.577673611115</v>
      </c>
      <c r="J635" s="297">
        <v>43174</v>
      </c>
      <c r="K635" s="297">
        <v>45163</v>
      </c>
      <c r="L635" s="297">
        <v>43090</v>
      </c>
      <c r="M635" s="298" t="s">
        <v>2633</v>
      </c>
      <c r="N635" s="296" t="str">
        <f>"Guinee,Kankan,Kankan,Balandougou, Missamana"</f>
        <v>Guinee,Kankan,Kankan,Balandougou, Missamana</v>
      </c>
    </row>
    <row r="636" spans="2:14" ht="18.75" x14ac:dyDescent="0.15">
      <c r="B636" s="295" t="str">
        <f>"23057"</f>
        <v>23057</v>
      </c>
      <c r="C636" s="295" t="str">
        <f>"A/2021/222/MMG/SGG"</f>
        <v>A/2021/222/MMG/SGG</v>
      </c>
      <c r="D636" s="296" t="s">
        <v>2629</v>
      </c>
      <c r="E636" s="295" t="s">
        <v>154</v>
      </c>
      <c r="F636" s="295" t="s">
        <v>644</v>
      </c>
      <c r="G636" s="295" t="s">
        <v>1565</v>
      </c>
      <c r="H636" s="295" t="s">
        <v>1565</v>
      </c>
      <c r="I636" s="297">
        <v>44236.472013888888</v>
      </c>
      <c r="J636" s="297">
        <v>44258</v>
      </c>
      <c r="K636" s="297">
        <v>45353</v>
      </c>
      <c r="L636" s="297">
        <v>44215</v>
      </c>
      <c r="M636" s="298" t="s">
        <v>2634</v>
      </c>
      <c r="N636" s="296" t="str">
        <f>"Guinee,Kankan,Kouroussa,Kouroussa-centre, Sanguiana"</f>
        <v>Guinee,Kankan,Kouroussa,Kouroussa-centre, Sanguiana</v>
      </c>
    </row>
    <row r="637" spans="2:14" ht="27" x14ac:dyDescent="0.15">
      <c r="B637" s="295" t="str">
        <f>"23054"</f>
        <v>23054</v>
      </c>
      <c r="C637" s="295" t="str">
        <f>"A/2021/221/MMG/SGG"</f>
        <v>A/2021/221/MMG/SGG</v>
      </c>
      <c r="D637" s="296" t="s">
        <v>1847</v>
      </c>
      <c r="E637" s="295" t="s">
        <v>154</v>
      </c>
      <c r="F637" s="295" t="s">
        <v>644</v>
      </c>
      <c r="G637" s="295" t="s">
        <v>1565</v>
      </c>
      <c r="H637" s="295" t="s">
        <v>1565</v>
      </c>
      <c r="I637" s="297">
        <v>44236.390613425923</v>
      </c>
      <c r="J637" s="297">
        <v>44258</v>
      </c>
      <c r="K637" s="297">
        <v>45353</v>
      </c>
      <c r="L637" s="297">
        <v>44215</v>
      </c>
      <c r="M637" s="298" t="s">
        <v>2635</v>
      </c>
      <c r="N637" s="296" t="str">
        <f>"Guinee,Kankan,Kankan,Gbérédou-Barana, Koumban; Kouroussa,Baro, Kiniéro"</f>
        <v>Guinee,Kankan,Kankan,Gbérédou-Barana, Koumban; Kouroussa,Baro, Kiniéro</v>
      </c>
    </row>
    <row r="638" spans="2:14" ht="18.75" x14ac:dyDescent="0.15">
      <c r="B638" s="295" t="str">
        <f>"23052"</f>
        <v>23052</v>
      </c>
      <c r="C638" s="295" t="str">
        <f>"A/2021/220/MMG/SGG"</f>
        <v>A/2021/220/MMG/SGG</v>
      </c>
      <c r="D638" s="296" t="s">
        <v>2636</v>
      </c>
      <c r="E638" s="295" t="s">
        <v>154</v>
      </c>
      <c r="F638" s="295" t="s">
        <v>644</v>
      </c>
      <c r="G638" s="295" t="s">
        <v>1565</v>
      </c>
      <c r="H638" s="295" t="s">
        <v>1565</v>
      </c>
      <c r="I638" s="297">
        <v>44232.520682870374</v>
      </c>
      <c r="J638" s="297">
        <v>44258</v>
      </c>
      <c r="K638" s="297">
        <v>45353</v>
      </c>
      <c r="L638" s="297">
        <v>44228</v>
      </c>
      <c r="M638" s="298" t="s">
        <v>2637</v>
      </c>
      <c r="N638" s="296" t="str">
        <f>"Guinee,Kankan,Mandiana,Balandougouba, Koundianakoro"</f>
        <v>Guinee,Kankan,Mandiana,Balandougouba, Koundianakoro</v>
      </c>
    </row>
    <row r="639" spans="2:14" ht="18.75" x14ac:dyDescent="0.15">
      <c r="B639" s="295" t="str">
        <f>"23055"</f>
        <v>23055</v>
      </c>
      <c r="C639" s="295" t="str">
        <f>"A/2021/218/MMG/SGG"</f>
        <v>A/2021/218/MMG/SGG</v>
      </c>
      <c r="D639" s="296" t="s">
        <v>1847</v>
      </c>
      <c r="E639" s="295" t="s">
        <v>154</v>
      </c>
      <c r="F639" s="295" t="s">
        <v>644</v>
      </c>
      <c r="G639" s="295" t="s">
        <v>1565</v>
      </c>
      <c r="H639" s="295" t="s">
        <v>1565</v>
      </c>
      <c r="I639" s="297">
        <v>44236.438252314816</v>
      </c>
      <c r="J639" s="297">
        <v>44258</v>
      </c>
      <c r="K639" s="297">
        <v>45353</v>
      </c>
      <c r="L639" s="297">
        <v>44215</v>
      </c>
      <c r="M639" s="298" t="s">
        <v>2638</v>
      </c>
      <c r="N639" s="296" t="str">
        <f>"Guinee,Kankan,Kankan,Koumban; Kouroussa,Banfelé, Baro"</f>
        <v>Guinee,Kankan,Kankan,Koumban; Kouroussa,Banfelé, Baro</v>
      </c>
    </row>
    <row r="640" spans="2:14" ht="18.75" x14ac:dyDescent="0.15">
      <c r="B640" s="295" t="str">
        <f>"23053"</f>
        <v>23053</v>
      </c>
      <c r="C640" s="295" t="str">
        <f>"A/2021/217/MMG/SGG"</f>
        <v>A/2021/217/MMG/SGG</v>
      </c>
      <c r="D640" s="296" t="s">
        <v>2636</v>
      </c>
      <c r="E640" s="295" t="s">
        <v>154</v>
      </c>
      <c r="F640" s="295" t="s">
        <v>644</v>
      </c>
      <c r="G640" s="295" t="s">
        <v>1565</v>
      </c>
      <c r="H640" s="295" t="s">
        <v>1565</v>
      </c>
      <c r="I640" s="297">
        <v>44232.549432870372</v>
      </c>
      <c r="J640" s="297">
        <v>44258</v>
      </c>
      <c r="K640" s="297">
        <v>45353</v>
      </c>
      <c r="L640" s="297">
        <v>44228</v>
      </c>
      <c r="M640" s="298" t="s">
        <v>2639</v>
      </c>
      <c r="N640" s="296" t="str">
        <f>"Guinee,Kankan,Mandiana,Balandougouba"</f>
        <v>Guinee,Kankan,Mandiana,Balandougouba</v>
      </c>
    </row>
    <row r="641" spans="2:14" ht="27" x14ac:dyDescent="0.15">
      <c r="B641" s="295" t="str">
        <f>"23132"</f>
        <v>23132</v>
      </c>
      <c r="C641" s="295" t="str">
        <f>"A/2021/1629/MMG"</f>
        <v>A/2021/1629/MMG</v>
      </c>
      <c r="D641" s="296" t="s">
        <v>2640</v>
      </c>
      <c r="E641" s="295" t="s">
        <v>154</v>
      </c>
      <c r="F641" s="295" t="s">
        <v>644</v>
      </c>
      <c r="G641" s="295" t="s">
        <v>1565</v>
      </c>
      <c r="H641" s="295" t="s">
        <v>1565</v>
      </c>
      <c r="I641" s="297">
        <v>44349.560277777775</v>
      </c>
      <c r="J641" s="297">
        <v>44375</v>
      </c>
      <c r="K641" s="297">
        <v>45470</v>
      </c>
      <c r="L641" s="297">
        <v>44259</v>
      </c>
      <c r="M641" s="298" t="s">
        <v>2641</v>
      </c>
      <c r="N641" s="296" t="str">
        <f>"Guinee,Kankan,Siguiri,Naboun, Niagassola"</f>
        <v>Guinee,Kankan,Siguiri,Naboun, Niagassola</v>
      </c>
    </row>
    <row r="642" spans="2:14" ht="27" x14ac:dyDescent="0.15">
      <c r="B642" s="295" t="str">
        <f>"23051"</f>
        <v>23051</v>
      </c>
      <c r="C642" s="295" t="str">
        <f>"A/2021/135/MMG/SGG"</f>
        <v>A/2021/135/MMG/SGG</v>
      </c>
      <c r="D642" s="296" t="s">
        <v>2642</v>
      </c>
      <c r="E642" s="295" t="s">
        <v>154</v>
      </c>
      <c r="F642" s="295" t="s">
        <v>644</v>
      </c>
      <c r="G642" s="295" t="s">
        <v>1565</v>
      </c>
      <c r="H642" s="295" t="s">
        <v>1565</v>
      </c>
      <c r="I642" s="297">
        <v>44231.622037037036</v>
      </c>
      <c r="J642" s="297">
        <v>44243</v>
      </c>
      <c r="K642" s="297">
        <v>45337</v>
      </c>
      <c r="L642" s="297">
        <v>44223</v>
      </c>
      <c r="M642" s="298" t="s">
        <v>2643</v>
      </c>
      <c r="N642" s="296" t="str">
        <f>"Guinee,Kankan,Siguiri,Niagassola"</f>
        <v>Guinee,Kankan,Siguiri,Niagassola</v>
      </c>
    </row>
    <row r="643" spans="2:14" ht="18.75" x14ac:dyDescent="0.15">
      <c r="B643" s="295" t="str">
        <f>"23105"</f>
        <v>23105</v>
      </c>
      <c r="C643" s="295" t="str">
        <f>"A/2021/1345/MMG/SGG"</f>
        <v>A/2021/1345/MMG/SGG</v>
      </c>
      <c r="D643" s="296" t="s">
        <v>2644</v>
      </c>
      <c r="E643" s="295" t="s">
        <v>254</v>
      </c>
      <c r="F643" s="295" t="s">
        <v>1568</v>
      </c>
      <c r="G643" s="295" t="s">
        <v>1565</v>
      </c>
      <c r="H643" s="295" t="s">
        <v>1565</v>
      </c>
      <c r="I643" s="297">
        <v>44301.535173611112</v>
      </c>
      <c r="J643" s="297">
        <v>44351</v>
      </c>
      <c r="K643" s="297">
        <v>45446</v>
      </c>
      <c r="L643" s="297">
        <v>44281</v>
      </c>
      <c r="M643" s="298" t="s">
        <v>2645</v>
      </c>
      <c r="N643" s="296" t="str">
        <f>"Guinee,Boke,Boffa,Kolia; Kindia,Telimele,Daramagnak"</f>
        <v>Guinee,Boke,Boffa,Kolia; Kindia,Telimele,Daramagnak</v>
      </c>
    </row>
    <row r="644" spans="2:14" ht="18.75" x14ac:dyDescent="0.15">
      <c r="B644" s="295" t="str">
        <f>"23044"</f>
        <v>23044</v>
      </c>
      <c r="C644" s="295" t="str">
        <f>"A/2021/134/MMG/SGG"</f>
        <v>A/2021/134/MMG/SGG</v>
      </c>
      <c r="D644" s="296" t="s">
        <v>1685</v>
      </c>
      <c r="E644" s="295" t="s">
        <v>154</v>
      </c>
      <c r="F644" s="295" t="s">
        <v>644</v>
      </c>
      <c r="G644" s="295" t="s">
        <v>1565</v>
      </c>
      <c r="H644" s="295" t="s">
        <v>1565</v>
      </c>
      <c r="I644" s="297">
        <v>44217.540752314817</v>
      </c>
      <c r="J644" s="297">
        <v>44243</v>
      </c>
      <c r="K644" s="297">
        <v>45337</v>
      </c>
      <c r="L644" s="297">
        <v>44211</v>
      </c>
      <c r="M644" s="298" t="s">
        <v>2646</v>
      </c>
      <c r="N644" s="296" t="str">
        <f>"Guinee,Kankan,Mandiana,Balandougouba"</f>
        <v>Guinee,Kankan,Mandiana,Balandougouba</v>
      </c>
    </row>
    <row r="645" spans="2:14" ht="18.75" x14ac:dyDescent="0.15">
      <c r="B645" s="295" t="str">
        <f>"23050"</f>
        <v>23050</v>
      </c>
      <c r="C645" s="295" t="str">
        <f>"A/2021/133/MMG/SGG"</f>
        <v>A/2021/133/MMG/SGG</v>
      </c>
      <c r="D645" s="296" t="s">
        <v>355</v>
      </c>
      <c r="E645" s="295" t="s">
        <v>154</v>
      </c>
      <c r="F645" s="295" t="s">
        <v>644</v>
      </c>
      <c r="G645" s="295" t="s">
        <v>1565</v>
      </c>
      <c r="H645" s="295" t="s">
        <v>1565</v>
      </c>
      <c r="I645" s="297">
        <v>44229.642175925925</v>
      </c>
      <c r="J645" s="297">
        <v>44243</v>
      </c>
      <c r="K645" s="297">
        <v>45337</v>
      </c>
      <c r="L645" s="297">
        <v>44194</v>
      </c>
      <c r="M645" s="298" t="s">
        <v>2647</v>
      </c>
      <c r="N645" s="296" t="str">
        <f>"Guinee,Kankan,Siguiri,Franwalia, Kintinian, Niagassola"</f>
        <v>Guinee,Kankan,Siguiri,Franwalia, Kintinian, Niagassola</v>
      </c>
    </row>
    <row r="646" spans="2:14" ht="27" x14ac:dyDescent="0.15">
      <c r="B646" s="295" t="str">
        <f>"23035"</f>
        <v>23035</v>
      </c>
      <c r="C646" s="295" t="str">
        <f>"A/2021/060/MMG/SGG"</f>
        <v>A/2021/060/MMG/SGG</v>
      </c>
      <c r="D646" s="296" t="s">
        <v>2648</v>
      </c>
      <c r="E646" s="295" t="s">
        <v>154</v>
      </c>
      <c r="F646" s="295" t="s">
        <v>644</v>
      </c>
      <c r="G646" s="295" t="s">
        <v>1565</v>
      </c>
      <c r="H646" s="295" t="s">
        <v>1565</v>
      </c>
      <c r="I646" s="297">
        <v>44202.489062499997</v>
      </c>
      <c r="J646" s="297">
        <v>44223</v>
      </c>
      <c r="K646" s="297">
        <v>45317</v>
      </c>
      <c r="L646" s="297">
        <v>44200</v>
      </c>
      <c r="M646" s="298" t="s">
        <v>2649</v>
      </c>
      <c r="N646" s="296" t="str">
        <f>"Guinee,Kankan,Mandiana,Faralako, Saladou"</f>
        <v>Guinee,Kankan,Mandiana,Faralako, Saladou</v>
      </c>
    </row>
    <row r="647" spans="2:14" ht="18.75" x14ac:dyDescent="0.15">
      <c r="B647" s="295" t="str">
        <f>"13851"</f>
        <v>13851</v>
      </c>
      <c r="C647" s="295" t="str">
        <f>"A/2021/029/MMG/SGG"</f>
        <v>A/2021/029/MMG/SGG</v>
      </c>
      <c r="D647" s="296" t="s">
        <v>2650</v>
      </c>
      <c r="E647" s="295" t="s">
        <v>154</v>
      </c>
      <c r="F647" s="295" t="s">
        <v>644</v>
      </c>
      <c r="G647" s="295" t="s">
        <v>1565</v>
      </c>
      <c r="H647" s="295" t="s">
        <v>1565</v>
      </c>
      <c r="I647" s="297"/>
      <c r="J647" s="297">
        <v>42135</v>
      </c>
      <c r="K647" s="297">
        <v>44937</v>
      </c>
      <c r="L647" s="297">
        <v>41694</v>
      </c>
      <c r="M647" s="298" t="s">
        <v>2651</v>
      </c>
      <c r="N647" s="296" t="str">
        <f>"Guinee,Kankan,Mandiana,Sansando"</f>
        <v>Guinee,Kankan,Mandiana,Sansando</v>
      </c>
    </row>
    <row r="648" spans="2:14" ht="18.75" x14ac:dyDescent="0.15">
      <c r="B648" s="295" t="str">
        <f>"22163"</f>
        <v>22163</v>
      </c>
      <c r="C648" s="295" t="str">
        <f>"A/2020_2275"</f>
        <v>A/2020_2275</v>
      </c>
      <c r="D648" s="296" t="s">
        <v>2652</v>
      </c>
      <c r="E648" s="295" t="s">
        <v>154</v>
      </c>
      <c r="F648" s="295" t="s">
        <v>644</v>
      </c>
      <c r="G648" s="295" t="s">
        <v>1565</v>
      </c>
      <c r="H648" s="295" t="s">
        <v>1565</v>
      </c>
      <c r="I648" s="297">
        <v>42909.520532407405</v>
      </c>
      <c r="J648" s="297">
        <v>42941</v>
      </c>
      <c r="K648" s="297">
        <v>44778</v>
      </c>
      <c r="L648" s="297">
        <v>42902</v>
      </c>
      <c r="M648" s="298" t="s">
        <v>2653</v>
      </c>
      <c r="N648" s="296" t="str">
        <f>"Guinee,Kankan,Siguiri,Doko, Siguiri-centre"</f>
        <v>Guinee,Kankan,Siguiri,Doko, Siguiri-centre</v>
      </c>
    </row>
    <row r="649" spans="2:14" ht="18.75" x14ac:dyDescent="0.15">
      <c r="B649" s="295" t="str">
        <f>"22836"</f>
        <v>22836</v>
      </c>
      <c r="C649" s="295" t="str">
        <f>"A/2020/605/MMG/SGG"</f>
        <v>A/2020/605/MMG/SGG</v>
      </c>
      <c r="D649" s="296" t="s">
        <v>2654</v>
      </c>
      <c r="E649" s="295" t="s">
        <v>254</v>
      </c>
      <c r="F649" s="295" t="s">
        <v>1568</v>
      </c>
      <c r="G649" s="295" t="s">
        <v>1565</v>
      </c>
      <c r="H649" s="295" t="s">
        <v>1565</v>
      </c>
      <c r="I649" s="297">
        <v>43879.691840277781</v>
      </c>
      <c r="J649" s="297">
        <v>43892</v>
      </c>
      <c r="K649" s="297">
        <v>44986</v>
      </c>
      <c r="L649" s="297">
        <v>43874</v>
      </c>
      <c r="M649" s="298" t="s">
        <v>2655</v>
      </c>
      <c r="N649" s="296" t="str">
        <f>"Guinee,Boke,Gaoual,Kakony; Kindia,Telimele,Koba"</f>
        <v>Guinee,Boke,Gaoual,Kakony; Kindia,Telimele,Koba</v>
      </c>
    </row>
    <row r="650" spans="2:14" ht="27" x14ac:dyDescent="0.15">
      <c r="B650" s="295" t="str">
        <f>"18969"</f>
        <v>18969</v>
      </c>
      <c r="C650" s="295" t="str">
        <f>"A/2020/3313/MMG"</f>
        <v>A/2020/3313/MMG</v>
      </c>
      <c r="D650" s="296" t="s">
        <v>1623</v>
      </c>
      <c r="E650" s="295" t="s">
        <v>154</v>
      </c>
      <c r="F650" s="295" t="s">
        <v>644</v>
      </c>
      <c r="G650" s="295" t="s">
        <v>1565</v>
      </c>
      <c r="H650" s="295" t="s">
        <v>1565</v>
      </c>
      <c r="I650" s="297">
        <v>42583.618935185186</v>
      </c>
      <c r="J650" s="297">
        <v>43374</v>
      </c>
      <c r="K650" s="297">
        <v>44546</v>
      </c>
      <c r="L650" s="297">
        <v>42583</v>
      </c>
      <c r="M650" s="298" t="s">
        <v>2656</v>
      </c>
      <c r="N650" s="296" t="str">
        <f>"Guinee,Kankan,Kankan,Baté-Nafadji; Siguiri,Niandankoro, Norassoba"</f>
        <v>Guinee,Kankan,Kankan,Baté-Nafadji; Siguiri,Niandankoro, Norassoba</v>
      </c>
    </row>
    <row r="651" spans="2:14" ht="27" x14ac:dyDescent="0.15">
      <c r="B651" s="295" t="str">
        <f>"18975"</f>
        <v>18975</v>
      </c>
      <c r="C651" s="295" t="str">
        <f>"A/2020/3312/MMG"</f>
        <v>A/2020/3312/MMG</v>
      </c>
      <c r="D651" s="296" t="s">
        <v>1623</v>
      </c>
      <c r="E651" s="295" t="s">
        <v>154</v>
      </c>
      <c r="F651" s="295" t="s">
        <v>644</v>
      </c>
      <c r="G651" s="295" t="s">
        <v>1565</v>
      </c>
      <c r="H651" s="295" t="s">
        <v>1565</v>
      </c>
      <c r="I651" s="297">
        <v>42583.605567129627</v>
      </c>
      <c r="J651" s="297">
        <v>42662</v>
      </c>
      <c r="K651" s="297">
        <v>44546</v>
      </c>
      <c r="L651" s="297">
        <v>42583</v>
      </c>
      <c r="M651" s="298" t="s">
        <v>2657</v>
      </c>
      <c r="N651" s="296" t="str">
        <f>"Guinee,Kankan,Kankan,Baté-Nafadji; Kouroussa,Doura; Siguiri,Norassoba"</f>
        <v>Guinee,Kankan,Kankan,Baté-Nafadji; Kouroussa,Doura; Siguiri,Norassoba</v>
      </c>
    </row>
    <row r="652" spans="2:14" ht="18.75" x14ac:dyDescent="0.15">
      <c r="B652" s="295" t="str">
        <f>"14257"</f>
        <v>14257</v>
      </c>
      <c r="C652" s="295" t="str">
        <f>"A/2020/2636/MMG"</f>
        <v>A/2020/2636/MMG</v>
      </c>
      <c r="D652" s="296" t="s">
        <v>2658</v>
      </c>
      <c r="E652" s="295" t="s">
        <v>154</v>
      </c>
      <c r="F652" s="295" t="s">
        <v>644</v>
      </c>
      <c r="G652" s="295" t="s">
        <v>1565</v>
      </c>
      <c r="H652" s="295" t="s">
        <v>1873</v>
      </c>
      <c r="I652" s="297">
        <v>42571</v>
      </c>
      <c r="J652" s="297">
        <v>42648</v>
      </c>
      <c r="K652" s="297">
        <v>44455</v>
      </c>
      <c r="L652" s="297">
        <v>41355</v>
      </c>
      <c r="M652" s="298" t="s">
        <v>2659</v>
      </c>
      <c r="N652" s="296" t="str">
        <f>"Guinee,Kankan,Siguiri,Doko, Niagassola"</f>
        <v>Guinee,Kankan,Siguiri,Doko, Niagassola</v>
      </c>
    </row>
    <row r="653" spans="2:14" ht="18.75" x14ac:dyDescent="0.15">
      <c r="B653" s="295" t="str">
        <f>"22976"</f>
        <v>22976</v>
      </c>
      <c r="C653" s="295" t="str">
        <f>"A/2020/2635/MMG/SGG"</f>
        <v>A/2020/2635/MMG/SGG</v>
      </c>
      <c r="D653" s="296" t="s">
        <v>2660</v>
      </c>
      <c r="E653" s="295" t="s">
        <v>154</v>
      </c>
      <c r="F653" s="295" t="s">
        <v>644</v>
      </c>
      <c r="G653" s="295" t="s">
        <v>1565</v>
      </c>
      <c r="H653" s="295" t="s">
        <v>1565</v>
      </c>
      <c r="I653" s="297">
        <v>44067.649467592593</v>
      </c>
      <c r="J653" s="297">
        <v>44090</v>
      </c>
      <c r="K653" s="297">
        <v>45184</v>
      </c>
      <c r="L653" s="297">
        <v>44055</v>
      </c>
      <c r="M653" s="298" t="s">
        <v>2661</v>
      </c>
      <c r="N653" s="296" t="str">
        <f>"Guinee,Kankan,Mandiana,Faralako"</f>
        <v>Guinee,Kankan,Mandiana,Faralako</v>
      </c>
    </row>
    <row r="654" spans="2:14" ht="18.75" x14ac:dyDescent="0.15">
      <c r="B654" s="295" t="str">
        <f>"22977"</f>
        <v>22977</v>
      </c>
      <c r="C654" s="295" t="str">
        <f>"A/2020/2634/MMG/SGG"</f>
        <v>A/2020/2634/MMG/SGG</v>
      </c>
      <c r="D654" s="296" t="s">
        <v>2660</v>
      </c>
      <c r="E654" s="295" t="s">
        <v>154</v>
      </c>
      <c r="F654" s="295" t="s">
        <v>644</v>
      </c>
      <c r="G654" s="295" t="s">
        <v>1565</v>
      </c>
      <c r="H654" s="295" t="s">
        <v>1565</v>
      </c>
      <c r="I654" s="297">
        <v>44068.138495370367</v>
      </c>
      <c r="J654" s="297">
        <v>44090</v>
      </c>
      <c r="K654" s="297">
        <v>45184</v>
      </c>
      <c r="L654" s="297">
        <v>44055</v>
      </c>
      <c r="M654" s="298" t="s">
        <v>2662</v>
      </c>
      <c r="N654" s="296" t="str">
        <f>"Guinee,Kankan,Mandiana,Faralako"</f>
        <v>Guinee,Kankan,Mandiana,Faralako</v>
      </c>
    </row>
    <row r="655" spans="2:14" ht="27" x14ac:dyDescent="0.15">
      <c r="B655" s="295" t="str">
        <f>"22975"</f>
        <v>22975</v>
      </c>
      <c r="C655" s="295" t="str">
        <f>"A/2020/2633/MMG/SGG"</f>
        <v>A/2020/2633/MMG/SGG</v>
      </c>
      <c r="D655" s="296" t="s">
        <v>2663</v>
      </c>
      <c r="E655" s="295" t="s">
        <v>154</v>
      </c>
      <c r="F655" s="295" t="s">
        <v>644</v>
      </c>
      <c r="G655" s="295" t="s">
        <v>1565</v>
      </c>
      <c r="H655" s="295" t="s">
        <v>1565</v>
      </c>
      <c r="I655" s="297">
        <v>44063.635046296295</v>
      </c>
      <c r="J655" s="297">
        <v>44090</v>
      </c>
      <c r="K655" s="297">
        <v>45184</v>
      </c>
      <c r="L655" s="297">
        <v>44062</v>
      </c>
      <c r="M655" s="298" t="s">
        <v>2664</v>
      </c>
      <c r="N655" s="296" t="str">
        <f>"Guinee,Kankan,Siguiri,Norassoba"</f>
        <v>Guinee,Kankan,Siguiri,Norassoba</v>
      </c>
    </row>
    <row r="656" spans="2:14" ht="18.75" x14ac:dyDescent="0.15">
      <c r="B656" s="295" t="str">
        <f>"22981"</f>
        <v>22981</v>
      </c>
      <c r="C656" s="295" t="str">
        <f>"A/2020/2632/MMG/SGG"</f>
        <v>A/2020/2632/MMG/SGG</v>
      </c>
      <c r="D656" s="296" t="s">
        <v>2629</v>
      </c>
      <c r="E656" s="295" t="s">
        <v>154</v>
      </c>
      <c r="F656" s="295" t="s">
        <v>644</v>
      </c>
      <c r="G656" s="295" t="s">
        <v>1565</v>
      </c>
      <c r="H656" s="295" t="s">
        <v>1565</v>
      </c>
      <c r="I656" s="297">
        <v>44074.68476851852</v>
      </c>
      <c r="J656" s="297">
        <v>44090</v>
      </c>
      <c r="K656" s="297">
        <v>45184</v>
      </c>
      <c r="L656" s="297">
        <v>44060</v>
      </c>
      <c r="M656" s="298" t="s">
        <v>2665</v>
      </c>
      <c r="N656" s="296" t="str">
        <f>"Guinee,Kankan,Kouroussa,Doura, Koumana"</f>
        <v>Guinee,Kankan,Kouroussa,Doura, Koumana</v>
      </c>
    </row>
    <row r="657" spans="2:14" ht="27" x14ac:dyDescent="0.15">
      <c r="B657" s="295" t="str">
        <f>"22222"</f>
        <v>22222</v>
      </c>
      <c r="C657" s="295" t="str">
        <f>"A/2020/2562/MMG"</f>
        <v>A/2020/2562/MMG</v>
      </c>
      <c r="D657" s="296" t="s">
        <v>2666</v>
      </c>
      <c r="E657" s="295" t="s">
        <v>254</v>
      </c>
      <c r="F657" s="295" t="s">
        <v>1568</v>
      </c>
      <c r="G657" s="295" t="s">
        <v>1565</v>
      </c>
      <c r="H657" s="295" t="s">
        <v>1678</v>
      </c>
      <c r="I657" s="297">
        <v>42992.422222222223</v>
      </c>
      <c r="J657" s="297">
        <v>42999</v>
      </c>
      <c r="K657" s="297">
        <v>44813</v>
      </c>
      <c r="L657" s="297">
        <v>42989</v>
      </c>
      <c r="M657" s="298" t="s">
        <v>2667</v>
      </c>
      <c r="N657" s="296" t="str">
        <f>"Guinee,Boke,Gaoual,Malanta, Touba (5)"</f>
        <v>Guinee,Boke,Gaoual,Malanta, Touba (5)</v>
      </c>
    </row>
    <row r="658" spans="2:14" ht="18.75" x14ac:dyDescent="0.15">
      <c r="B658" s="295" t="str">
        <f>"22983"</f>
        <v>22983</v>
      </c>
      <c r="C658" s="295" t="str">
        <f>"A/2020/2561/MMG"</f>
        <v>A/2020/2561/MMG</v>
      </c>
      <c r="D658" s="296" t="s">
        <v>2668</v>
      </c>
      <c r="E658" s="295" t="s">
        <v>154</v>
      </c>
      <c r="F658" s="295" t="s">
        <v>644</v>
      </c>
      <c r="G658" s="295" t="s">
        <v>1565</v>
      </c>
      <c r="H658" s="295" t="s">
        <v>1565</v>
      </c>
      <c r="I658" s="297">
        <v>44076.384328703702</v>
      </c>
      <c r="J658" s="297">
        <v>44083</v>
      </c>
      <c r="K658" s="297">
        <v>45177</v>
      </c>
      <c r="L658" s="297">
        <v>44053</v>
      </c>
      <c r="M658" s="298" t="s">
        <v>2669</v>
      </c>
      <c r="N658" s="296" t="str">
        <f>"Guinee,Kankan,Kouroussa,Koumana, Kouroussa-centre, Sanguiana"</f>
        <v>Guinee,Kankan,Kouroussa,Koumana, Kouroussa-centre, Sanguiana</v>
      </c>
    </row>
    <row r="659" spans="2:14" ht="18.75" x14ac:dyDescent="0.15">
      <c r="B659" s="295" t="str">
        <f>"22982"</f>
        <v>22982</v>
      </c>
      <c r="C659" s="295" t="str">
        <f>"A/2020/2560/MMG/SGG"</f>
        <v>A/2020/2560/MMG/SGG</v>
      </c>
      <c r="D659" s="296" t="s">
        <v>2629</v>
      </c>
      <c r="E659" s="295" t="s">
        <v>154</v>
      </c>
      <c r="F659" s="295" t="s">
        <v>644</v>
      </c>
      <c r="G659" s="295" t="s">
        <v>1565</v>
      </c>
      <c r="H659" s="295" t="s">
        <v>1565</v>
      </c>
      <c r="I659" s="297">
        <v>44074.699872685182</v>
      </c>
      <c r="J659" s="297">
        <v>44083</v>
      </c>
      <c r="K659" s="297">
        <v>45177</v>
      </c>
      <c r="L659" s="297">
        <v>44060</v>
      </c>
      <c r="M659" s="298" t="s">
        <v>2670</v>
      </c>
      <c r="N659" s="296" t="str">
        <f>"Guinee,Kankan,Kouroussa,Kouroussa-centre"</f>
        <v>Guinee,Kankan,Kouroussa,Kouroussa-centre</v>
      </c>
    </row>
    <row r="660" spans="2:14" ht="18.75" x14ac:dyDescent="0.15">
      <c r="B660" s="295" t="str">
        <f>"22980"</f>
        <v>22980</v>
      </c>
      <c r="C660" s="295" t="str">
        <f>"A/2020/2559/MMG/SGG"</f>
        <v>A/2020/2559/MMG/SGG</v>
      </c>
      <c r="D660" s="296" t="s">
        <v>2629</v>
      </c>
      <c r="E660" s="295" t="s">
        <v>154</v>
      </c>
      <c r="F660" s="295" t="s">
        <v>644</v>
      </c>
      <c r="G660" s="295" t="s">
        <v>1565</v>
      </c>
      <c r="H660" s="295" t="s">
        <v>1565</v>
      </c>
      <c r="I660" s="297">
        <v>44074.667928240742</v>
      </c>
      <c r="J660" s="297">
        <v>44083</v>
      </c>
      <c r="K660" s="297">
        <v>45177</v>
      </c>
      <c r="L660" s="297">
        <v>44060</v>
      </c>
      <c r="M660" s="298" t="s">
        <v>2671</v>
      </c>
      <c r="N660" s="296" t="str">
        <f>"Guinee,Kankan,Mandiana,Mandiana-centre, Morodou"</f>
        <v>Guinee,Kankan,Mandiana,Mandiana-centre, Morodou</v>
      </c>
    </row>
    <row r="661" spans="2:14" ht="27" x14ac:dyDescent="0.15">
      <c r="B661" s="295" t="str">
        <f>"22185"</f>
        <v>22185</v>
      </c>
      <c r="C661" s="295" t="str">
        <f>"A/2020/2462/MMG"</f>
        <v>A/2020/2462/MMG</v>
      </c>
      <c r="D661" s="296" t="s">
        <v>2672</v>
      </c>
      <c r="E661" s="295" t="s">
        <v>154</v>
      </c>
      <c r="F661" s="295" t="s">
        <v>644</v>
      </c>
      <c r="G661" s="295" t="s">
        <v>1565</v>
      </c>
      <c r="H661" s="295" t="s">
        <v>1678</v>
      </c>
      <c r="I661" s="297">
        <v>42944.579571759263</v>
      </c>
      <c r="J661" s="297">
        <v>42951</v>
      </c>
      <c r="K661" s="297">
        <v>44436</v>
      </c>
      <c r="L661" s="297">
        <v>42941</v>
      </c>
      <c r="M661" s="298" t="s">
        <v>2673</v>
      </c>
      <c r="N661" s="296" t="str">
        <f>"Guinee,Kankan,Kouroussa,Koumana, Kouroussa-centre"</f>
        <v>Guinee,Kankan,Kouroussa,Koumana, Kouroussa-centre</v>
      </c>
    </row>
    <row r="662" spans="2:14" ht="27" x14ac:dyDescent="0.15">
      <c r="B662" s="295" t="str">
        <f>"22187"</f>
        <v>22187</v>
      </c>
      <c r="C662" s="295" t="str">
        <f>"A/2020/2461"</f>
        <v>A/2020/2461</v>
      </c>
      <c r="D662" s="296" t="s">
        <v>2672</v>
      </c>
      <c r="E662" s="295" t="s">
        <v>154</v>
      </c>
      <c r="F662" s="295" t="s">
        <v>644</v>
      </c>
      <c r="G662" s="295" t="s">
        <v>1565</v>
      </c>
      <c r="H662" s="295" t="s">
        <v>1678</v>
      </c>
      <c r="I662" s="297">
        <v>42944.613032407404</v>
      </c>
      <c r="J662" s="297">
        <v>42951</v>
      </c>
      <c r="K662" s="297">
        <v>44436</v>
      </c>
      <c r="L662" s="297">
        <v>42941</v>
      </c>
      <c r="M662" s="298" t="s">
        <v>2674</v>
      </c>
      <c r="N662" s="296" t="str">
        <f>"Guinee,Kankan,Kouroussa,Babila, Baro, Kiniéro"</f>
        <v>Guinee,Kankan,Kouroussa,Babila, Baro, Kiniéro</v>
      </c>
    </row>
    <row r="663" spans="2:14" ht="27" x14ac:dyDescent="0.15">
      <c r="B663" s="295" t="str">
        <f>"22186"</f>
        <v>22186</v>
      </c>
      <c r="C663" s="295" t="str">
        <f>"A/2020/2460"</f>
        <v>A/2020/2460</v>
      </c>
      <c r="D663" s="296" t="s">
        <v>2672</v>
      </c>
      <c r="E663" s="295" t="s">
        <v>154</v>
      </c>
      <c r="F663" s="295" t="s">
        <v>644</v>
      </c>
      <c r="G663" s="295" t="s">
        <v>1565</v>
      </c>
      <c r="H663" s="295" t="s">
        <v>1678</v>
      </c>
      <c r="I663" s="297">
        <v>42944.601006944446</v>
      </c>
      <c r="J663" s="297">
        <v>42951</v>
      </c>
      <c r="K663" s="297">
        <v>44436</v>
      </c>
      <c r="L663" s="297">
        <v>42941</v>
      </c>
      <c r="M663" s="298" t="s">
        <v>2675</v>
      </c>
      <c r="N663" s="296" t="str">
        <f>"Guinee,Kankan,Mandiana,Morodou"</f>
        <v>Guinee,Kankan,Mandiana,Morodou</v>
      </c>
    </row>
    <row r="664" spans="2:14" ht="27" x14ac:dyDescent="0.15">
      <c r="B664" s="295" t="str">
        <f>"22199"</f>
        <v>22199</v>
      </c>
      <c r="C664" s="295" t="str">
        <f>"A/2020/2350"</f>
        <v>A/2020/2350</v>
      </c>
      <c r="D664" s="296" t="s">
        <v>2676</v>
      </c>
      <c r="E664" s="295" t="s">
        <v>154</v>
      </c>
      <c r="F664" s="295" t="s">
        <v>644</v>
      </c>
      <c r="G664" s="295" t="s">
        <v>1565</v>
      </c>
      <c r="H664" s="295" t="s">
        <v>1873</v>
      </c>
      <c r="I664" s="297">
        <v>42956.629849537036</v>
      </c>
      <c r="J664" s="297">
        <v>42970</v>
      </c>
      <c r="K664" s="297">
        <v>44421</v>
      </c>
      <c r="L664" s="297">
        <v>42915</v>
      </c>
      <c r="M664" s="298" t="s">
        <v>2677</v>
      </c>
      <c r="N664" s="296" t="str">
        <f>"Guinee,Kankan,Kankan,Baté-Nafadji; Mandiana,Koundian, Sansando"</f>
        <v>Guinee,Kankan,Kankan,Baté-Nafadji; Mandiana,Koundian, Sansando</v>
      </c>
    </row>
    <row r="665" spans="2:14" ht="18.75" x14ac:dyDescent="0.15">
      <c r="B665" s="295" t="str">
        <f>"22169"</f>
        <v>22169</v>
      </c>
      <c r="C665" s="295" t="str">
        <f>"A/2020/2349"</f>
        <v>A/2020/2349</v>
      </c>
      <c r="D665" s="296" t="s">
        <v>2678</v>
      </c>
      <c r="E665" s="295" t="s">
        <v>154</v>
      </c>
      <c r="F665" s="295" t="s">
        <v>644</v>
      </c>
      <c r="G665" s="295" t="s">
        <v>1565</v>
      </c>
      <c r="H665" s="295" t="s">
        <v>1873</v>
      </c>
      <c r="I665" s="297">
        <v>42915.483090277776</v>
      </c>
      <c r="J665" s="297">
        <v>42935</v>
      </c>
      <c r="K665" s="297">
        <v>44421</v>
      </c>
      <c r="L665" s="297">
        <v>42871</v>
      </c>
      <c r="M665" s="298" t="s">
        <v>2679</v>
      </c>
      <c r="N665" s="296" t="str">
        <f>"Guinee,Kankan,Mandiana,Koundian, Sansando"</f>
        <v>Guinee,Kankan,Mandiana,Koundian, Sansando</v>
      </c>
    </row>
    <row r="666" spans="2:14" ht="27" x14ac:dyDescent="0.15">
      <c r="B666" s="295" t="str">
        <f>"22122"</f>
        <v>22122</v>
      </c>
      <c r="C666" s="295" t="str">
        <f>"A/2020/2348"</f>
        <v>A/2020/2348</v>
      </c>
      <c r="D666" s="296" t="s">
        <v>2139</v>
      </c>
      <c r="E666" s="295" t="s">
        <v>154</v>
      </c>
      <c r="F666" s="295" t="s">
        <v>644</v>
      </c>
      <c r="G666" s="295" t="s">
        <v>1565</v>
      </c>
      <c r="H666" s="295" t="s">
        <v>1678</v>
      </c>
      <c r="I666" s="297">
        <v>42832.510266203702</v>
      </c>
      <c r="J666" s="297">
        <v>42969</v>
      </c>
      <c r="K666" s="297">
        <v>44786</v>
      </c>
      <c r="L666" s="297">
        <v>42832</v>
      </c>
      <c r="M666" s="298" t="s">
        <v>2680</v>
      </c>
      <c r="N666" s="296" t="str">
        <f>"Guinee,Kankan,Siguiri,Maléa"</f>
        <v>Guinee,Kankan,Siguiri,Maléa</v>
      </c>
    </row>
    <row r="667" spans="2:14" ht="27" x14ac:dyDescent="0.15">
      <c r="B667" s="295" t="str">
        <f>"22174"</f>
        <v>22174</v>
      </c>
      <c r="C667" s="295" t="str">
        <f>"A/2020/2277/MMG"</f>
        <v>A/2020/2277/MMG</v>
      </c>
      <c r="D667" s="296" t="s">
        <v>2681</v>
      </c>
      <c r="E667" s="295" t="s">
        <v>154</v>
      </c>
      <c r="F667" s="295" t="s">
        <v>644</v>
      </c>
      <c r="G667" s="295" t="s">
        <v>1565</v>
      </c>
      <c r="H667" s="295" t="s">
        <v>1565</v>
      </c>
      <c r="I667" s="297">
        <v>44298.686921296299</v>
      </c>
      <c r="J667" s="297">
        <v>44309</v>
      </c>
      <c r="K667" s="297">
        <v>45405</v>
      </c>
      <c r="L667" s="297">
        <v>44293</v>
      </c>
      <c r="M667" s="298" t="s">
        <v>2682</v>
      </c>
      <c r="N667" s="296" t="str">
        <f>"Guinee,Kankan,Siguiri,Doko, Niagassola"</f>
        <v>Guinee,Kankan,Siguiri,Doko, Niagassola</v>
      </c>
    </row>
    <row r="668" spans="2:14" ht="27" x14ac:dyDescent="0.15">
      <c r="B668" s="295" t="str">
        <f>"22209"</f>
        <v>22209</v>
      </c>
      <c r="C668" s="295" t="str">
        <f>"A/2020/2276"</f>
        <v>A/2020/2276</v>
      </c>
      <c r="D668" s="296" t="s">
        <v>1658</v>
      </c>
      <c r="E668" s="295" t="s">
        <v>154</v>
      </c>
      <c r="F668" s="295" t="s">
        <v>644</v>
      </c>
      <c r="G668" s="295" t="s">
        <v>1565</v>
      </c>
      <c r="H668" s="295" t="s">
        <v>1678</v>
      </c>
      <c r="I668" s="297">
        <v>42972.679236111115</v>
      </c>
      <c r="J668" s="297">
        <v>42956</v>
      </c>
      <c r="K668" s="297">
        <v>44778</v>
      </c>
      <c r="L668" s="297">
        <v>42956</v>
      </c>
      <c r="M668" s="298" t="s">
        <v>2683</v>
      </c>
      <c r="N668" s="296" t="str">
        <f>"Guinee,Kankan,Mandiana,Kantoumanina, Mandiana-centre"</f>
        <v>Guinee,Kankan,Mandiana,Kantoumanina, Mandiana-centre</v>
      </c>
    </row>
    <row r="669" spans="2:14" ht="18.75" x14ac:dyDescent="0.15">
      <c r="B669" s="295" t="str">
        <f>"22722"</f>
        <v>22722</v>
      </c>
      <c r="C669" s="295" t="str">
        <f>"A/2020/2270"</f>
        <v>A/2020/2270</v>
      </c>
      <c r="D669" s="296" t="s">
        <v>2684</v>
      </c>
      <c r="E669" s="295" t="s">
        <v>1794</v>
      </c>
      <c r="F669" s="295" t="s">
        <v>1594</v>
      </c>
      <c r="G669" s="295" t="s">
        <v>1565</v>
      </c>
      <c r="H669" s="295" t="s">
        <v>1565</v>
      </c>
      <c r="I669" s="297">
        <v>43742.487442129626</v>
      </c>
      <c r="J669" s="297">
        <v>44048</v>
      </c>
      <c r="K669" s="297">
        <v>45142</v>
      </c>
      <c r="L669" s="297">
        <v>43714</v>
      </c>
      <c r="M669" s="298" t="s">
        <v>2685</v>
      </c>
      <c r="N669" s="296" t="str">
        <f>"Guinee,N'Zerekore,Lola,Gama-Béréma, Guéasso, Tounkarata"</f>
        <v>Guinee,N'Zerekore,Lola,Gama-Béréma, Guéasso, Tounkarata</v>
      </c>
    </row>
    <row r="670" spans="2:14" ht="18.75" x14ac:dyDescent="0.15">
      <c r="B670" s="295" t="str">
        <f>"22933"</f>
        <v>22933</v>
      </c>
      <c r="C670" s="295" t="str">
        <f>"A/2020/2260/MMG/SGG"</f>
        <v>A/2020/2260/MMG/SGG</v>
      </c>
      <c r="D670" s="296" t="s">
        <v>2686</v>
      </c>
      <c r="E670" s="295" t="s">
        <v>254</v>
      </c>
      <c r="F670" s="295" t="s">
        <v>1568</v>
      </c>
      <c r="G670" s="295" t="s">
        <v>1565</v>
      </c>
      <c r="H670" s="295" t="s">
        <v>1565</v>
      </c>
      <c r="I670" s="297">
        <v>44021.504490740743</v>
      </c>
      <c r="J670" s="297">
        <v>44048</v>
      </c>
      <c r="K670" s="297">
        <v>45142</v>
      </c>
      <c r="L670" s="297">
        <v>43977</v>
      </c>
      <c r="M670" s="298" t="s">
        <v>2687</v>
      </c>
      <c r="N670" s="296" t="str">
        <f>"Guinee,Mamou,Mamou,Dounet, Gongoret, Porédaka, Timbo"</f>
        <v>Guinee,Mamou,Mamou,Dounet, Gongoret, Porédaka, Timbo</v>
      </c>
    </row>
    <row r="671" spans="2:14" ht="18.75" x14ac:dyDescent="0.15">
      <c r="B671" s="295" t="str">
        <f>" 22928"</f>
        <v xml:space="preserve"> 22928</v>
      </c>
      <c r="C671" s="295" t="str">
        <f>"A/2020/2257/MMG/SGG"</f>
        <v>A/2020/2257/MMG/SGG</v>
      </c>
      <c r="D671" s="296" t="s">
        <v>2688</v>
      </c>
      <c r="E671" s="295" t="s">
        <v>154</v>
      </c>
      <c r="F671" s="295" t="s">
        <v>644</v>
      </c>
      <c r="G671" s="295" t="s">
        <v>1565</v>
      </c>
      <c r="H671" s="295" t="s">
        <v>1565</v>
      </c>
      <c r="I671" s="297">
        <v>44011.48537037037</v>
      </c>
      <c r="J671" s="297">
        <v>44048</v>
      </c>
      <c r="K671" s="297">
        <v>45142</v>
      </c>
      <c r="L671" s="297">
        <v>43997</v>
      </c>
      <c r="M671" s="298" t="s">
        <v>2689</v>
      </c>
      <c r="N671" s="296" t="str">
        <f>"Guinee,Kankan,Siguiri,Norassoba"</f>
        <v>Guinee,Kankan,Siguiri,Norassoba</v>
      </c>
    </row>
    <row r="672" spans="2:14" ht="27" x14ac:dyDescent="0.15">
      <c r="B672" s="295" t="str">
        <f>"22914"</f>
        <v>22914</v>
      </c>
      <c r="C672" s="295" t="str">
        <f>"A/2020/2065/MMG/SGG"</f>
        <v>A/2020/2065/MMG/SGG</v>
      </c>
      <c r="D672" s="296" t="s">
        <v>2690</v>
      </c>
      <c r="E672" s="295" t="s">
        <v>154</v>
      </c>
      <c r="F672" s="295" t="s">
        <v>644</v>
      </c>
      <c r="G672" s="295" t="s">
        <v>1565</v>
      </c>
      <c r="H672" s="295" t="s">
        <v>1565</v>
      </c>
      <c r="I672" s="297">
        <v>43993.538148148145</v>
      </c>
      <c r="J672" s="297">
        <v>44019</v>
      </c>
      <c r="K672" s="297">
        <v>45113</v>
      </c>
      <c r="L672" s="297">
        <v>43941</v>
      </c>
      <c r="M672" s="298" t="s">
        <v>2691</v>
      </c>
      <c r="N672" s="296" t="str">
        <f>"Guinee,Kankan,Kankan,Balandougou; Mandiana,Koundian"</f>
        <v>Guinee,Kankan,Kankan,Balandougou; Mandiana,Koundian</v>
      </c>
    </row>
    <row r="673" spans="2:14" ht="27" x14ac:dyDescent="0.15">
      <c r="B673" s="295" t="str">
        <f>"22923"</f>
        <v>22923</v>
      </c>
      <c r="C673" s="295" t="str">
        <f>"A/2020/2060/MMG/SGG"</f>
        <v>A/2020/2060/MMG/SGG</v>
      </c>
      <c r="D673" s="296" t="s">
        <v>2692</v>
      </c>
      <c r="E673" s="295" t="s">
        <v>1794</v>
      </c>
      <c r="F673" s="295" t="s">
        <v>1594</v>
      </c>
      <c r="G673" s="295" t="s">
        <v>1565</v>
      </c>
      <c r="H673" s="295" t="s">
        <v>1565</v>
      </c>
      <c r="I673" s="297">
        <v>44005.514490740738</v>
      </c>
      <c r="J673" s="297">
        <v>44014</v>
      </c>
      <c r="K673" s="297">
        <v>45108</v>
      </c>
      <c r="L673" s="297">
        <v>44004</v>
      </c>
      <c r="M673" s="298" t="s">
        <v>2693</v>
      </c>
      <c r="N673" s="296" t="str">
        <f>"Guinee,Kindia,Coyah,Wonkifong; Forecariah,Allassoyah, Maférinya; Kindia,Mambia"</f>
        <v>Guinee,Kindia,Coyah,Wonkifong; Forecariah,Allassoyah, Maférinya; Kindia,Mambia</v>
      </c>
    </row>
    <row r="674" spans="2:14" ht="18.75" x14ac:dyDescent="0.15">
      <c r="B674" s="295" t="str">
        <f>"22173"</f>
        <v>22173</v>
      </c>
      <c r="C674" s="295" t="str">
        <f>"A/2020/1841/MMG/SGG"</f>
        <v>A/2020/1841/MMG/SGG</v>
      </c>
      <c r="D674" s="296" t="s">
        <v>2694</v>
      </c>
      <c r="E674" s="295" t="s">
        <v>254</v>
      </c>
      <c r="F674" s="295" t="s">
        <v>1568</v>
      </c>
      <c r="G674" s="295" t="s">
        <v>1565</v>
      </c>
      <c r="H674" s="295" t="s">
        <v>1565</v>
      </c>
      <c r="I674" s="297">
        <v>42926.522303240738</v>
      </c>
      <c r="J674" s="297">
        <v>42941</v>
      </c>
      <c r="K674" s="297">
        <v>44723</v>
      </c>
      <c r="L674" s="297">
        <v>42920</v>
      </c>
      <c r="M674" s="298" t="s">
        <v>2695</v>
      </c>
      <c r="N674" s="296" t="str">
        <f>"Guinee,Boke,Boke,Dabiss, Sansalé; Gaoual,Wendou M'bour"</f>
        <v>Guinee,Boke,Boke,Dabiss, Sansalé; Gaoual,Wendou M'bour</v>
      </c>
    </row>
    <row r="675" spans="2:14" ht="27" x14ac:dyDescent="0.15">
      <c r="B675" s="295" t="str">
        <f>"22860"</f>
        <v>22860</v>
      </c>
      <c r="C675" s="295" t="str">
        <f>"A/2020/1225/MMG/SGG"</f>
        <v>A/2020/1225/MMG/SGG</v>
      </c>
      <c r="D675" s="296" t="s">
        <v>2696</v>
      </c>
      <c r="E675" s="295" t="s">
        <v>154</v>
      </c>
      <c r="F675" s="295" t="s">
        <v>644</v>
      </c>
      <c r="G675" s="295" t="s">
        <v>1565</v>
      </c>
      <c r="H675" s="295" t="s">
        <v>1565</v>
      </c>
      <c r="I675" s="297">
        <v>43929.594594907408</v>
      </c>
      <c r="J675" s="297">
        <v>43943</v>
      </c>
      <c r="K675" s="297">
        <v>45037</v>
      </c>
      <c r="L675" s="297">
        <v>43902</v>
      </c>
      <c r="M675" s="298" t="s">
        <v>2697</v>
      </c>
      <c r="N675" s="296" t="str">
        <f>"Guinee,Kankan,Siguiri,Kintinian, Maléa"</f>
        <v>Guinee,Kankan,Siguiri,Kintinian, Maléa</v>
      </c>
    </row>
    <row r="676" spans="2:14" ht="27" x14ac:dyDescent="0.15">
      <c r="B676" s="295" t="str">
        <f>"22117"</f>
        <v>22117</v>
      </c>
      <c r="C676" s="295" t="str">
        <f>"A/2020/1135/MMG/SGG"</f>
        <v>A/2020/1135/MMG/SGG</v>
      </c>
      <c r="D676" s="296" t="s">
        <v>2698</v>
      </c>
      <c r="E676" s="295" t="s">
        <v>154</v>
      </c>
      <c r="F676" s="295" t="s">
        <v>644</v>
      </c>
      <c r="G676" s="295" t="s">
        <v>1565</v>
      </c>
      <c r="H676" s="295" t="s">
        <v>1678</v>
      </c>
      <c r="I676" s="297">
        <v>42824.777187500003</v>
      </c>
      <c r="J676" s="297">
        <v>42829</v>
      </c>
      <c r="K676" s="297">
        <v>44660</v>
      </c>
      <c r="L676" s="297">
        <v>42824</v>
      </c>
      <c r="M676" s="298" t="s">
        <v>2699</v>
      </c>
      <c r="N676" s="296" t="str">
        <f>"Guinee,Kankan,Siguiri,Kintinian"</f>
        <v>Guinee,Kankan,Siguiri,Kintinian</v>
      </c>
    </row>
    <row r="677" spans="2:14" ht="27" x14ac:dyDescent="0.15">
      <c r="B677" s="295" t="str">
        <f>"22115"</f>
        <v>22115</v>
      </c>
      <c r="C677" s="295" t="str">
        <f>"A/2020/1134/MMG/SGG"</f>
        <v>A/2020/1134/MMG/SGG</v>
      </c>
      <c r="D677" s="296" t="s">
        <v>2698</v>
      </c>
      <c r="E677" s="295" t="s">
        <v>154</v>
      </c>
      <c r="F677" s="295" t="s">
        <v>644</v>
      </c>
      <c r="G677" s="295" t="s">
        <v>1565</v>
      </c>
      <c r="H677" s="295" t="s">
        <v>1678</v>
      </c>
      <c r="I677" s="297">
        <v>42824.746527777781</v>
      </c>
      <c r="J677" s="297">
        <v>42829</v>
      </c>
      <c r="K677" s="297">
        <v>44660</v>
      </c>
      <c r="L677" s="297">
        <v>42824</v>
      </c>
      <c r="M677" s="298" t="s">
        <v>2700</v>
      </c>
      <c r="N677" s="296" t="str">
        <f>"Guinee,Kankan,Siguiri,Franwalia, Niagassola"</f>
        <v>Guinee,Kankan,Siguiri,Franwalia, Niagassola</v>
      </c>
    </row>
    <row r="678" spans="2:14" ht="27" x14ac:dyDescent="0.15">
      <c r="B678" s="295" t="str">
        <f>"22116"</f>
        <v>22116</v>
      </c>
      <c r="C678" s="295" t="str">
        <f>"A/2020/1133/MMG/SGG"</f>
        <v>A/2020/1133/MMG/SGG</v>
      </c>
      <c r="D678" s="296" t="s">
        <v>2698</v>
      </c>
      <c r="E678" s="295" t="s">
        <v>154</v>
      </c>
      <c r="F678" s="295" t="s">
        <v>644</v>
      </c>
      <c r="G678" s="295" t="s">
        <v>1565</v>
      </c>
      <c r="H678" s="295" t="s">
        <v>1678</v>
      </c>
      <c r="I678" s="297">
        <v>42824.76666666667</v>
      </c>
      <c r="J678" s="297">
        <v>42829</v>
      </c>
      <c r="K678" s="297">
        <v>44660</v>
      </c>
      <c r="L678" s="297">
        <v>42824</v>
      </c>
      <c r="M678" s="298" t="s">
        <v>2701</v>
      </c>
      <c r="N678" s="296" t="str">
        <f>"Guinee,Kankan,Siguiri,Franwalia, Niagassola"</f>
        <v>Guinee,Kankan,Siguiri,Franwalia, Niagassola</v>
      </c>
    </row>
    <row r="679" spans="2:14" ht="27" x14ac:dyDescent="0.15">
      <c r="B679" s="295" t="str">
        <f>"22114"</f>
        <v>22114</v>
      </c>
      <c r="C679" s="295" t="str">
        <f>"A/2020/1132/MMG/SGG"</f>
        <v>A/2020/1132/MMG/SGG</v>
      </c>
      <c r="D679" s="296" t="s">
        <v>2698</v>
      </c>
      <c r="E679" s="295" t="s">
        <v>154</v>
      </c>
      <c r="F679" s="295" t="s">
        <v>644</v>
      </c>
      <c r="G679" s="295" t="s">
        <v>1565</v>
      </c>
      <c r="H679" s="295" t="s">
        <v>1678</v>
      </c>
      <c r="I679" s="297">
        <v>42824.720937500002</v>
      </c>
      <c r="J679" s="297">
        <v>42829</v>
      </c>
      <c r="K679" s="297">
        <v>44660</v>
      </c>
      <c r="L679" s="297">
        <v>42824</v>
      </c>
      <c r="M679" s="298" t="s">
        <v>2702</v>
      </c>
      <c r="N679" s="296" t="str">
        <f>"Guinee,Kankan,Siguiri,Doko, Franwalia, Kintinian, Niagassola"</f>
        <v>Guinee,Kankan,Siguiri,Doko, Franwalia, Kintinian, Niagassola</v>
      </c>
    </row>
    <row r="680" spans="2:14" ht="27" x14ac:dyDescent="0.15">
      <c r="B680" s="295" t="str">
        <f>"22852"</f>
        <v>22852</v>
      </c>
      <c r="C680" s="295" t="str">
        <f>"A/2020/1129/MMG/SGG"</f>
        <v>A/2020/1129/MMG/SGG</v>
      </c>
      <c r="D680" s="296" t="s">
        <v>2121</v>
      </c>
      <c r="E680" s="295" t="s">
        <v>154</v>
      </c>
      <c r="F680" s="295" t="s">
        <v>644</v>
      </c>
      <c r="G680" s="295" t="s">
        <v>1565</v>
      </c>
      <c r="H680" s="295" t="s">
        <v>1565</v>
      </c>
      <c r="I680" s="297">
        <v>43920.706585648149</v>
      </c>
      <c r="J680" s="297">
        <v>43931</v>
      </c>
      <c r="K680" s="297">
        <v>45025</v>
      </c>
      <c r="L680" s="297">
        <v>43902</v>
      </c>
      <c r="M680" s="298" t="s">
        <v>2201</v>
      </c>
      <c r="N680" s="296" t="str">
        <f>"Guinee,Kankan,Siguiri,Franwalia, Maléa"</f>
        <v>Guinee,Kankan,Siguiri,Franwalia, Maléa</v>
      </c>
    </row>
    <row r="681" spans="2:14" ht="18.75" x14ac:dyDescent="0.15">
      <c r="B681" s="295" t="str">
        <f>"22855"</f>
        <v>22855</v>
      </c>
      <c r="C681" s="295" t="str">
        <f>"A/2020/1127/MMG/SGG"</f>
        <v>A/2020/1127/MMG/SGG</v>
      </c>
      <c r="D681" s="296" t="s">
        <v>434</v>
      </c>
      <c r="E681" s="295" t="s">
        <v>154</v>
      </c>
      <c r="F681" s="295" t="s">
        <v>644</v>
      </c>
      <c r="G681" s="295" t="s">
        <v>1565</v>
      </c>
      <c r="H681" s="295" t="s">
        <v>1565</v>
      </c>
      <c r="I681" s="297">
        <v>43921.675162037034</v>
      </c>
      <c r="J681" s="297">
        <v>43931</v>
      </c>
      <c r="K681" s="297">
        <v>45025</v>
      </c>
      <c r="L681" s="297">
        <v>43850</v>
      </c>
      <c r="M681" s="298" t="s">
        <v>2703</v>
      </c>
      <c r="N681" s="296" t="str">
        <f>"Guinee,Kankan,Siguiri,Kintinian, Maléa"</f>
        <v>Guinee,Kankan,Siguiri,Kintinian, Maléa</v>
      </c>
    </row>
    <row r="682" spans="2:14" ht="18.75" x14ac:dyDescent="0.15">
      <c r="B682" s="295" t="str">
        <f>"22851"</f>
        <v>22851</v>
      </c>
      <c r="C682" s="295" t="str">
        <f>"A/2020/1125/MMG/SGG"</f>
        <v>A/2020/1125/MMG/SGG</v>
      </c>
      <c r="D682" s="296" t="s">
        <v>2704</v>
      </c>
      <c r="E682" s="295" t="s">
        <v>154</v>
      </c>
      <c r="F682" s="295" t="s">
        <v>644</v>
      </c>
      <c r="G682" s="295" t="s">
        <v>1565</v>
      </c>
      <c r="H682" s="295" t="s">
        <v>1565</v>
      </c>
      <c r="I682" s="297">
        <v>43920.650706018518</v>
      </c>
      <c r="J682" s="297">
        <v>43931</v>
      </c>
      <c r="K682" s="297">
        <v>45025</v>
      </c>
      <c r="L682" s="297">
        <v>43900</v>
      </c>
      <c r="M682" s="298" t="s">
        <v>2705</v>
      </c>
      <c r="N682" s="296" t="str">
        <f>"Guinee,Kankan,Siguiri,Maléa, Siguirini"</f>
        <v>Guinee,Kankan,Siguiri,Maléa, Siguirini</v>
      </c>
    </row>
    <row r="683" spans="2:14" ht="18.75" x14ac:dyDescent="0.15">
      <c r="B683" s="295" t="str">
        <f>"22846"</f>
        <v>22846</v>
      </c>
      <c r="C683" s="295" t="str">
        <f>"A/2020/1124/MMG/SGG"</f>
        <v>A/2020/1124/MMG/SGG</v>
      </c>
      <c r="D683" s="296" t="s">
        <v>2706</v>
      </c>
      <c r="E683" s="295" t="s">
        <v>154</v>
      </c>
      <c r="F683" s="295" t="s">
        <v>644</v>
      </c>
      <c r="G683" s="295" t="s">
        <v>1565</v>
      </c>
      <c r="H683" s="295" t="s">
        <v>1565</v>
      </c>
      <c r="I683" s="297">
        <v>43903.620173611111</v>
      </c>
      <c r="J683" s="297">
        <v>43931</v>
      </c>
      <c r="K683" s="297">
        <v>45025</v>
      </c>
      <c r="L683" s="297">
        <v>43563</v>
      </c>
      <c r="M683" s="298" t="s">
        <v>2707</v>
      </c>
      <c r="N683" s="296" t="str">
        <f>"Guinee,Kankan,Kouroussa,Komola-khoura"</f>
        <v>Guinee,Kankan,Kouroussa,Komola-khoura</v>
      </c>
    </row>
    <row r="684" spans="2:14" ht="18.75" x14ac:dyDescent="0.15">
      <c r="B684" s="295" t="str">
        <f>"22840"</f>
        <v>22840</v>
      </c>
      <c r="C684" s="295" t="str">
        <f>"A/2020/1058/MMG/SGG"</f>
        <v>A/2020/1058/MMG/SGG</v>
      </c>
      <c r="D684" s="296" t="s">
        <v>2162</v>
      </c>
      <c r="E684" s="295" t="s">
        <v>254</v>
      </c>
      <c r="F684" s="295" t="s">
        <v>1568</v>
      </c>
      <c r="G684" s="295" t="s">
        <v>1565</v>
      </c>
      <c r="H684" s="295" t="s">
        <v>1565</v>
      </c>
      <c r="I684" s="297">
        <v>43892.391180555554</v>
      </c>
      <c r="J684" s="297">
        <v>43927</v>
      </c>
      <c r="K684" s="297">
        <v>45021</v>
      </c>
      <c r="L684" s="297">
        <v>43878</v>
      </c>
      <c r="M684" s="298" t="s">
        <v>2498</v>
      </c>
      <c r="N684" s="296" t="str">
        <f>"Guinee,Kindia,Telimele,Santou, Sarékali, Tarihoye, Télimélé"</f>
        <v>Guinee,Kindia,Telimele,Santou, Sarékali, Tarihoye, Télimélé</v>
      </c>
    </row>
    <row r="685" spans="2:14" ht="27" x14ac:dyDescent="0.15">
      <c r="B685" s="295" t="str">
        <f>"22835"</f>
        <v>22835</v>
      </c>
      <c r="C685" s="295" t="str">
        <f>"A/2020/1049/MMG/SGG"</f>
        <v>A/2020/1049/MMG/SGG</v>
      </c>
      <c r="D685" s="296" t="s">
        <v>2708</v>
      </c>
      <c r="E685" s="295" t="s">
        <v>154</v>
      </c>
      <c r="F685" s="295" t="s">
        <v>644</v>
      </c>
      <c r="G685" s="295" t="s">
        <v>1565</v>
      </c>
      <c r="H685" s="295" t="s">
        <v>1565</v>
      </c>
      <c r="I685" s="297">
        <v>43875.457453703704</v>
      </c>
      <c r="J685" s="297">
        <v>43927</v>
      </c>
      <c r="K685" s="297">
        <v>45021</v>
      </c>
      <c r="L685" s="297">
        <v>43865</v>
      </c>
      <c r="M685" s="298" t="s">
        <v>2709</v>
      </c>
      <c r="N685" s="296" t="str">
        <f>"Guinee,Kankan,Kouroussa,Baro, Kiniéro"</f>
        <v>Guinee,Kankan,Kouroussa,Baro, Kiniéro</v>
      </c>
    </row>
    <row r="686" spans="2:14" ht="27" x14ac:dyDescent="0.15">
      <c r="B686" s="295" t="str">
        <f>"22834"</f>
        <v>22834</v>
      </c>
      <c r="C686" s="295" t="str">
        <f>"A/2020/1048/MMG/SGG"</f>
        <v>A/2020/1048/MMG/SGG</v>
      </c>
      <c r="D686" s="296" t="s">
        <v>2708</v>
      </c>
      <c r="E686" s="295" t="s">
        <v>154</v>
      </c>
      <c r="F686" s="295" t="s">
        <v>644</v>
      </c>
      <c r="G686" s="295" t="s">
        <v>1565</v>
      </c>
      <c r="H686" s="295" t="s">
        <v>1565</v>
      </c>
      <c r="I686" s="297">
        <v>43875.431388888886</v>
      </c>
      <c r="J686" s="297">
        <v>43927</v>
      </c>
      <c r="K686" s="297">
        <v>45021</v>
      </c>
      <c r="L686" s="297">
        <v>43865</v>
      </c>
      <c r="M686" s="298" t="s">
        <v>2710</v>
      </c>
      <c r="N686" s="296" t="str">
        <f>"Guinee,Kankan,Kouroussa,Banfelé, Kiniéro"</f>
        <v>Guinee,Kankan,Kouroussa,Banfelé, Kiniéro</v>
      </c>
    </row>
    <row r="687" spans="2:14" ht="18.75" x14ac:dyDescent="0.15">
      <c r="B687" s="295" t="str">
        <f>"22037"</f>
        <v>22037</v>
      </c>
      <c r="C687" s="295" t="str">
        <f>"A/2019/6757/MMG/SGG"</f>
        <v>A/2019/6757/MMG/SGG</v>
      </c>
      <c r="D687" s="296" t="s">
        <v>1963</v>
      </c>
      <c r="E687" s="295" t="s">
        <v>154</v>
      </c>
      <c r="F687" s="295" t="s">
        <v>644</v>
      </c>
      <c r="G687" s="295" t="s">
        <v>1565</v>
      </c>
      <c r="H687" s="295" t="s">
        <v>1873</v>
      </c>
      <c r="I687" s="297">
        <v>42692.558032407411</v>
      </c>
      <c r="J687" s="297">
        <v>42713</v>
      </c>
      <c r="K687" s="297">
        <v>44550</v>
      </c>
      <c r="L687" s="297">
        <v>42678</v>
      </c>
      <c r="M687" s="298" t="s">
        <v>2711</v>
      </c>
      <c r="N687" s="296" t="str">
        <f>"Guinee,Kankan,Kouroussa,Doura, Koumana"</f>
        <v>Guinee,Kankan,Kouroussa,Doura, Koumana</v>
      </c>
    </row>
    <row r="688" spans="2:14" ht="27" x14ac:dyDescent="0.15">
      <c r="B688" s="295" t="str">
        <f>"22757"</f>
        <v>22757</v>
      </c>
      <c r="C688" s="295" t="str">
        <f>"A/2019/6606/MMG"</f>
        <v>A/2019/6606/MMG</v>
      </c>
      <c r="D688" s="296" t="s">
        <v>2229</v>
      </c>
      <c r="E688" s="295" t="s">
        <v>78</v>
      </c>
      <c r="F688" s="295" t="s">
        <v>1755</v>
      </c>
      <c r="G688" s="295" t="s">
        <v>1565</v>
      </c>
      <c r="H688" s="295" t="s">
        <v>1565</v>
      </c>
      <c r="I688" s="297">
        <v>43795.595138888886</v>
      </c>
      <c r="J688" s="297">
        <v>43809</v>
      </c>
      <c r="K688" s="297">
        <v>44539</v>
      </c>
      <c r="L688" s="297">
        <v>43769</v>
      </c>
      <c r="M688" s="298" t="s">
        <v>2712</v>
      </c>
      <c r="N688" s="296" t="str">
        <f>"Guinee,Mamou,Mamou,Kounkouré"</f>
        <v>Guinee,Mamou,Mamou,Kounkouré</v>
      </c>
    </row>
    <row r="689" spans="2:14" ht="27" x14ac:dyDescent="0.15">
      <c r="B689" s="295" t="str">
        <f>"22756"</f>
        <v>22756</v>
      </c>
      <c r="C689" s="295" t="str">
        <f>"A/2019/6604/MMG"</f>
        <v>A/2019/6604/MMG</v>
      </c>
      <c r="D689" s="296" t="s">
        <v>2229</v>
      </c>
      <c r="E689" s="295" t="s">
        <v>78</v>
      </c>
      <c r="F689" s="295" t="s">
        <v>1755</v>
      </c>
      <c r="G689" s="295" t="s">
        <v>1565</v>
      </c>
      <c r="H689" s="295" t="s">
        <v>1565</v>
      </c>
      <c r="I689" s="297">
        <v>43795.58085648148</v>
      </c>
      <c r="J689" s="297">
        <v>43809</v>
      </c>
      <c r="K689" s="297">
        <v>44539</v>
      </c>
      <c r="L689" s="297">
        <v>43769</v>
      </c>
      <c r="M689" s="298" t="s">
        <v>2713</v>
      </c>
      <c r="N689" s="296" t="str">
        <f>"Guinee,Kindia,Kindia,Souguéta"</f>
        <v>Guinee,Kindia,Kindia,Souguéta</v>
      </c>
    </row>
    <row r="690" spans="2:14" ht="27" x14ac:dyDescent="0.15">
      <c r="B690" s="295" t="str">
        <f>"19626"</f>
        <v>19626</v>
      </c>
      <c r="C690" s="295" t="str">
        <f>"A/2019/6429/MMG/SGG"</f>
        <v>A/2019/6429/MMG/SGG</v>
      </c>
      <c r="D690" s="296" t="s">
        <v>2714</v>
      </c>
      <c r="E690" s="295" t="s">
        <v>254</v>
      </c>
      <c r="F690" s="295" t="s">
        <v>1568</v>
      </c>
      <c r="G690" s="295" t="s">
        <v>1565</v>
      </c>
      <c r="H690" s="295" t="s">
        <v>1565</v>
      </c>
      <c r="I690" s="297">
        <v>42581.497083333335</v>
      </c>
      <c r="J690" s="297">
        <v>40445</v>
      </c>
      <c r="K690" s="297">
        <v>44156</v>
      </c>
      <c r="L690" s="297">
        <v>42033</v>
      </c>
      <c r="M690" s="298" t="s">
        <v>2715</v>
      </c>
      <c r="N690" s="296" t="str">
        <f>"Guinee,Labe,Koubia,Matakaou, Pilimini; Labe,Dalein; Mali,Donghol-sigon, Téliré, Yimbéring"</f>
        <v>Guinee,Labe,Koubia,Matakaou, Pilimini; Labe,Dalein; Mali,Donghol-sigon, Téliré, Yimbéring</v>
      </c>
    </row>
    <row r="691" spans="2:14" ht="18.75" x14ac:dyDescent="0.15">
      <c r="B691" s="295" t="str">
        <f>"22569"</f>
        <v>22569</v>
      </c>
      <c r="C691" s="295" t="str">
        <f>"A/2019/601/MMG"</f>
        <v>A/2019/601/MMG</v>
      </c>
      <c r="D691" s="296" t="s">
        <v>2377</v>
      </c>
      <c r="E691" s="295" t="s">
        <v>154</v>
      </c>
      <c r="F691" s="295" t="s">
        <v>644</v>
      </c>
      <c r="G691" s="295" t="s">
        <v>1565</v>
      </c>
      <c r="H691" s="295" t="s">
        <v>1565</v>
      </c>
      <c r="I691" s="297">
        <v>43510.707453703704</v>
      </c>
      <c r="J691" s="297">
        <v>43522</v>
      </c>
      <c r="K691" s="297">
        <v>44617</v>
      </c>
      <c r="L691" s="297">
        <v>43479</v>
      </c>
      <c r="M691" s="298" t="s">
        <v>2716</v>
      </c>
      <c r="N691" s="296" t="str">
        <f>"Guinee,Kankan,Kankan,Baté-Nafadji"</f>
        <v>Guinee,Kankan,Kankan,Baté-Nafadji</v>
      </c>
    </row>
    <row r="692" spans="2:14" x14ac:dyDescent="0.15">
      <c r="B692" s="295" t="str">
        <f>"22659"</f>
        <v>22659</v>
      </c>
      <c r="C692" s="295" t="str">
        <f>"A/2019/4626/MMG"</f>
        <v>A/2019/4626/MMG</v>
      </c>
      <c r="D692" s="296" t="s">
        <v>2717</v>
      </c>
      <c r="E692" s="295" t="s">
        <v>78</v>
      </c>
      <c r="F692" s="295" t="s">
        <v>1769</v>
      </c>
      <c r="G692" s="295" t="s">
        <v>1565</v>
      </c>
      <c r="H692" s="295" t="s">
        <v>1565</v>
      </c>
      <c r="I692" s="297">
        <v>43626.64503472222</v>
      </c>
      <c r="J692" s="297">
        <v>43662</v>
      </c>
      <c r="K692" s="297">
        <v>44392</v>
      </c>
      <c r="L692" s="297">
        <v>43549</v>
      </c>
      <c r="M692" s="298" t="s">
        <v>2718</v>
      </c>
      <c r="N692" s="296" t="str">
        <f>"Guinee,Kankan,Kankan,Tinti-Oulen"</f>
        <v>Guinee,Kankan,Kankan,Tinti-Oulen</v>
      </c>
    </row>
    <row r="693" spans="2:14" ht="27" x14ac:dyDescent="0.15">
      <c r="B693" s="295" t="str">
        <f>"22679"</f>
        <v>22679</v>
      </c>
      <c r="C693" s="295" t="str">
        <f>"A/2019/4621/MMG"</f>
        <v>A/2019/4621/MMG</v>
      </c>
      <c r="D693" s="296" t="s">
        <v>2719</v>
      </c>
      <c r="E693" s="295" t="s">
        <v>78</v>
      </c>
      <c r="F693" s="295" t="s">
        <v>1769</v>
      </c>
      <c r="G693" s="295" t="s">
        <v>1565</v>
      </c>
      <c r="H693" s="295" t="s">
        <v>1678</v>
      </c>
      <c r="I693" s="297">
        <v>43647.603356481479</v>
      </c>
      <c r="J693" s="297">
        <v>43662</v>
      </c>
      <c r="K693" s="297">
        <v>44392</v>
      </c>
      <c r="L693" s="297">
        <v>43608</v>
      </c>
      <c r="M693" s="298" t="s">
        <v>2720</v>
      </c>
      <c r="N693" s="296" t="str">
        <f>"Guinee,Kindia,Forecariah,Maférinya"</f>
        <v>Guinee,Kindia,Forecariah,Maférinya</v>
      </c>
    </row>
    <row r="694" spans="2:14" ht="18.75" x14ac:dyDescent="0.15">
      <c r="B694" s="295" t="str">
        <f>"22677"</f>
        <v>22677</v>
      </c>
      <c r="C694" s="295" t="str">
        <f>"A/2019/4616/MMG"</f>
        <v>A/2019/4616/MMG</v>
      </c>
      <c r="D694" s="296" t="s">
        <v>2721</v>
      </c>
      <c r="E694" s="295" t="s">
        <v>154</v>
      </c>
      <c r="F694" s="295" t="s">
        <v>644</v>
      </c>
      <c r="G694" s="295" t="s">
        <v>1565</v>
      </c>
      <c r="H694" s="295" t="s">
        <v>1565</v>
      </c>
      <c r="I694" s="297">
        <v>43642.492303240739</v>
      </c>
      <c r="J694" s="297">
        <v>43724</v>
      </c>
      <c r="K694" s="297">
        <v>44819</v>
      </c>
      <c r="L694" s="297">
        <v>43563</v>
      </c>
      <c r="M694" s="298" t="s">
        <v>2722</v>
      </c>
      <c r="N694" s="296" t="str">
        <f>"Guinee,Kankan,Kouroussa,Komola-khoura"</f>
        <v>Guinee,Kankan,Kouroussa,Komola-khoura</v>
      </c>
    </row>
    <row r="695" spans="2:14" ht="18.75" x14ac:dyDescent="0.15">
      <c r="B695" s="295" t="str">
        <f>"22635"</f>
        <v>22635</v>
      </c>
      <c r="C695" s="295" t="str">
        <f>"A/2019/4257/MMG"</f>
        <v>A/2019/4257/MMG</v>
      </c>
      <c r="D695" s="296" t="s">
        <v>2723</v>
      </c>
      <c r="E695" s="295" t="s">
        <v>154</v>
      </c>
      <c r="F695" s="295" t="s">
        <v>644</v>
      </c>
      <c r="G695" s="295" t="s">
        <v>1565</v>
      </c>
      <c r="H695" s="295" t="s">
        <v>1873</v>
      </c>
      <c r="I695" s="297">
        <v>43607.449236111112</v>
      </c>
      <c r="J695" s="297">
        <v>43643</v>
      </c>
      <c r="K695" s="297">
        <v>44738</v>
      </c>
      <c r="L695" s="297">
        <v>43192</v>
      </c>
      <c r="M695" s="298" t="s">
        <v>2724</v>
      </c>
      <c r="N695" s="296" t="str">
        <f>"Guinee,Kankan,Kouroussa,Doura; Siguiri,Norassoba"</f>
        <v>Guinee,Kankan,Kouroussa,Doura; Siguiri,Norassoba</v>
      </c>
    </row>
    <row r="696" spans="2:14" ht="27" x14ac:dyDescent="0.15">
      <c r="B696" s="295" t="str">
        <f>"22656"</f>
        <v>22656</v>
      </c>
      <c r="C696" s="295" t="str">
        <f>"A/2019/4253/MMG"</f>
        <v>A/2019/4253/MMG</v>
      </c>
      <c r="D696" s="296" t="s">
        <v>2229</v>
      </c>
      <c r="E696" s="295" t="s">
        <v>78</v>
      </c>
      <c r="F696" s="295" t="s">
        <v>1755</v>
      </c>
      <c r="G696" s="295" t="s">
        <v>1565</v>
      </c>
      <c r="H696" s="295" t="s">
        <v>1565</v>
      </c>
      <c r="I696" s="297">
        <v>43622.516377314816</v>
      </c>
      <c r="J696" s="297">
        <v>43643</v>
      </c>
      <c r="K696" s="297">
        <v>44373</v>
      </c>
      <c r="L696" s="297">
        <v>43607</v>
      </c>
      <c r="M696" s="298" t="s">
        <v>2725</v>
      </c>
      <c r="N696" s="296" t="str">
        <f>"Guinee,Kindia,Kindia,Kindia-centre"</f>
        <v>Guinee,Kindia,Kindia,Kindia-centre</v>
      </c>
    </row>
    <row r="697" spans="2:14" ht="27" x14ac:dyDescent="0.15">
      <c r="B697" s="295" t="str">
        <f>"22655"</f>
        <v>22655</v>
      </c>
      <c r="C697" s="295" t="str">
        <f>"A/2019/4252/MMG"</f>
        <v>A/2019/4252/MMG</v>
      </c>
      <c r="D697" s="296" t="s">
        <v>2229</v>
      </c>
      <c r="E697" s="295" t="s">
        <v>78</v>
      </c>
      <c r="F697" s="295" t="s">
        <v>1755</v>
      </c>
      <c r="G697" s="295" t="s">
        <v>1565</v>
      </c>
      <c r="H697" s="295" t="s">
        <v>1565</v>
      </c>
      <c r="I697" s="297">
        <v>43622.507916666669</v>
      </c>
      <c r="J697" s="297">
        <v>43643</v>
      </c>
      <c r="K697" s="297">
        <v>44373</v>
      </c>
      <c r="L697" s="297">
        <v>43607</v>
      </c>
      <c r="M697" s="298" t="s">
        <v>2726</v>
      </c>
      <c r="N697" s="296" t="str">
        <f>"Guinee,Kindia,Kindia,Kindia-centre"</f>
        <v>Guinee,Kindia,Kindia,Kindia-centre</v>
      </c>
    </row>
    <row r="698" spans="2:14" ht="27" x14ac:dyDescent="0.15">
      <c r="B698" s="295" t="str">
        <f>"22654"</f>
        <v>22654</v>
      </c>
      <c r="C698" s="295" t="str">
        <f>"A/2019/4250/MMG"</f>
        <v>A/2019/4250/MMG</v>
      </c>
      <c r="D698" s="296" t="s">
        <v>2229</v>
      </c>
      <c r="E698" s="295" t="s">
        <v>78</v>
      </c>
      <c r="F698" s="295" t="s">
        <v>1755</v>
      </c>
      <c r="G698" s="295" t="s">
        <v>1565</v>
      </c>
      <c r="H698" s="295" t="s">
        <v>1678</v>
      </c>
      <c r="I698" s="297">
        <v>43622.498229166667</v>
      </c>
      <c r="J698" s="297">
        <v>43643</v>
      </c>
      <c r="K698" s="297">
        <v>44373</v>
      </c>
      <c r="L698" s="297">
        <v>43607</v>
      </c>
      <c r="M698" s="298" t="s">
        <v>2727</v>
      </c>
      <c r="N698" s="296" t="str">
        <f>"Guinee,Kindia,Kindia,Kolenté"</f>
        <v>Guinee,Kindia,Kindia,Kolenté</v>
      </c>
    </row>
    <row r="699" spans="2:14" ht="27" x14ac:dyDescent="0.15">
      <c r="B699" s="295" t="str">
        <f>"22652"</f>
        <v>22652</v>
      </c>
      <c r="C699" s="295" t="str">
        <f>"A/2019/4248/MMG"</f>
        <v>A/2019/4248/MMG</v>
      </c>
      <c r="D699" s="296" t="s">
        <v>2229</v>
      </c>
      <c r="E699" s="295" t="s">
        <v>78</v>
      </c>
      <c r="F699" s="295" t="s">
        <v>1755</v>
      </c>
      <c r="G699" s="295" t="s">
        <v>1565</v>
      </c>
      <c r="H699" s="295" t="s">
        <v>1565</v>
      </c>
      <c r="I699" s="297">
        <v>43622.467870370368</v>
      </c>
      <c r="J699" s="297">
        <v>43643</v>
      </c>
      <c r="K699" s="297">
        <v>44373</v>
      </c>
      <c r="L699" s="297">
        <v>43607</v>
      </c>
      <c r="M699" s="298" t="s">
        <v>2728</v>
      </c>
      <c r="N699" s="296" t="str">
        <f>"Guinee,Mamou,Mamou,Dounet"</f>
        <v>Guinee,Mamou,Mamou,Dounet</v>
      </c>
    </row>
    <row r="700" spans="2:14" ht="27" x14ac:dyDescent="0.15">
      <c r="B700" s="295" t="str">
        <f>"22670"</f>
        <v>22670</v>
      </c>
      <c r="C700" s="295" t="str">
        <f>"A/2019/4236/MMG"</f>
        <v>A/2019/4236/MMG</v>
      </c>
      <c r="D700" s="296" t="s">
        <v>2729</v>
      </c>
      <c r="E700" s="295" t="s">
        <v>254</v>
      </c>
      <c r="F700" s="295" t="s">
        <v>1568</v>
      </c>
      <c r="G700" s="295" t="s">
        <v>1565</v>
      </c>
      <c r="H700" s="295" t="s">
        <v>1565</v>
      </c>
      <c r="I700" s="297">
        <v>43634.458032407405</v>
      </c>
      <c r="J700" s="297">
        <v>43643</v>
      </c>
      <c r="K700" s="297">
        <v>44738</v>
      </c>
      <c r="L700" s="297">
        <v>43486</v>
      </c>
      <c r="M700" s="298" t="s">
        <v>2730</v>
      </c>
      <c r="N700" s="296" t="str">
        <f>"Guinee,Boke,Fria,Baguinet; Kindia,Dubreka,Tondon; Telimele,Kollet, Sogolon"</f>
        <v>Guinee,Boke,Fria,Baguinet; Kindia,Dubreka,Tondon; Telimele,Kollet, Sogolon</v>
      </c>
    </row>
    <row r="701" spans="2:14" ht="27" x14ac:dyDescent="0.15">
      <c r="B701" s="295" t="str">
        <f>"22672"</f>
        <v>22672</v>
      </c>
      <c r="C701" s="295" t="str">
        <f>"A/2019/4198/MMG"</f>
        <v>A/2019/4198/MMG</v>
      </c>
      <c r="D701" s="296" t="s">
        <v>2731</v>
      </c>
      <c r="E701" s="295" t="s">
        <v>1869</v>
      </c>
      <c r="F701" s="295" t="s">
        <v>2732</v>
      </c>
      <c r="G701" s="295" t="s">
        <v>1565</v>
      </c>
      <c r="H701" s="295" t="s">
        <v>1565</v>
      </c>
      <c r="I701" s="297">
        <v>43635.754895833335</v>
      </c>
      <c r="J701" s="297">
        <v>43642</v>
      </c>
      <c r="K701" s="297">
        <v>44737</v>
      </c>
      <c r="L701" s="297">
        <v>43622</v>
      </c>
      <c r="M701" s="298" t="s">
        <v>2733</v>
      </c>
      <c r="N701" s="296" t="str">
        <f>"Guinee,Labe,Lelouma,Manda, Tianguel-Bori"</f>
        <v>Guinee,Labe,Lelouma,Manda, Tianguel-Bori</v>
      </c>
    </row>
    <row r="702" spans="2:14" ht="27" x14ac:dyDescent="0.15">
      <c r="B702" s="295" t="str">
        <f>"AZ_00035_"</f>
        <v>AZ_00035_</v>
      </c>
      <c r="C702" s="295" t="s">
        <v>2734</v>
      </c>
      <c r="D702" s="296" t="s">
        <v>802</v>
      </c>
      <c r="E702" s="295" t="s">
        <v>2735</v>
      </c>
      <c r="F702" s="295" t="s">
        <v>2736</v>
      </c>
      <c r="G702" s="295" t="s">
        <v>1565</v>
      </c>
      <c r="H702" s="295" t="s">
        <v>1565</v>
      </c>
      <c r="I702" s="297"/>
      <c r="J702" s="297">
        <v>43544</v>
      </c>
      <c r="K702" s="297">
        <v>45370</v>
      </c>
      <c r="L702" s="297"/>
      <c r="M702" s="298" t="s">
        <v>2737</v>
      </c>
      <c r="N702" s="296" t="str">
        <f>"Guinee,Boke,Boffa,Mankountan, Tougnifily; Boke,Kamsar, Kanfarandé"</f>
        <v>Guinee,Boke,Boffa,Mankountan, Tougnifily; Boke,Kamsar, Kanfarandé</v>
      </c>
    </row>
    <row r="703" spans="2:14" ht="27" x14ac:dyDescent="0.15">
      <c r="B703" s="295" t="str">
        <f>"AZ_00036_"</f>
        <v>AZ_00036_</v>
      </c>
      <c r="C703" s="295" t="s">
        <v>2734</v>
      </c>
      <c r="D703" s="296" t="s">
        <v>802</v>
      </c>
      <c r="E703" s="295" t="s">
        <v>2735</v>
      </c>
      <c r="F703" s="295" t="s">
        <v>2736</v>
      </c>
      <c r="G703" s="295" t="s">
        <v>1565</v>
      </c>
      <c r="H703" s="295" t="s">
        <v>1565</v>
      </c>
      <c r="I703" s="297">
        <v>42689.665821759256</v>
      </c>
      <c r="J703" s="297">
        <v>43544</v>
      </c>
      <c r="K703" s="297">
        <v>45370</v>
      </c>
      <c r="L703" s="297"/>
      <c r="M703" s="298" t="s">
        <v>2738</v>
      </c>
      <c r="N703" s="296" t="str">
        <f>"Guinee,Boke,Boke,Kanfarandé"</f>
        <v>Guinee,Boke,Boke,Kanfarandé</v>
      </c>
    </row>
    <row r="704" spans="2:14" ht="27" x14ac:dyDescent="0.15">
      <c r="B704" s="295" t="str">
        <f>"AZ_00039_"</f>
        <v>AZ_00039_</v>
      </c>
      <c r="C704" s="295" t="s">
        <v>2734</v>
      </c>
      <c r="D704" s="296" t="s">
        <v>802</v>
      </c>
      <c r="E704" s="295" t="s">
        <v>2735</v>
      </c>
      <c r="F704" s="295" t="s">
        <v>2736</v>
      </c>
      <c r="G704" s="295" t="s">
        <v>1565</v>
      </c>
      <c r="H704" s="295" t="s">
        <v>1565</v>
      </c>
      <c r="I704" s="297"/>
      <c r="J704" s="297">
        <v>43544</v>
      </c>
      <c r="K704" s="297">
        <v>43543</v>
      </c>
      <c r="L704" s="297"/>
      <c r="M704" s="298" t="s">
        <v>2739</v>
      </c>
      <c r="N704" s="296" t="str">
        <f>"Guinee,Boke,Boffa,Boffa, Douprou"</f>
        <v>Guinee,Boke,Boffa,Boffa, Douprou</v>
      </c>
    </row>
    <row r="705" spans="2:14" ht="27" x14ac:dyDescent="0.15">
      <c r="B705" s="295" t="str">
        <f>"AZ_00040_"</f>
        <v>AZ_00040_</v>
      </c>
      <c r="C705" s="295" t="s">
        <v>2734</v>
      </c>
      <c r="D705" s="296" t="s">
        <v>802</v>
      </c>
      <c r="E705" s="295" t="s">
        <v>2735</v>
      </c>
      <c r="F705" s="295" t="s">
        <v>2736</v>
      </c>
      <c r="G705" s="295" t="s">
        <v>1565</v>
      </c>
      <c r="H705" s="295" t="s">
        <v>1565</v>
      </c>
      <c r="I705" s="297"/>
      <c r="J705" s="297">
        <v>43544</v>
      </c>
      <c r="K705" s="297">
        <v>45370</v>
      </c>
      <c r="L705" s="297"/>
      <c r="M705" s="298" t="s">
        <v>2740</v>
      </c>
      <c r="N705" s="296" t="str">
        <f>"Guinee,Boke,Boffa,Boffa, Koba_Tatéma"</f>
        <v>Guinee,Boke,Boffa,Boffa, Koba_Tatéma</v>
      </c>
    </row>
    <row r="706" spans="2:14" ht="27" x14ac:dyDescent="0.15">
      <c r="B706" s="295" t="str">
        <f>"22634"</f>
        <v>22634</v>
      </c>
      <c r="C706" s="295" t="str">
        <f>"A/2019/3948/MMG"</f>
        <v>A/2019/3948/MMG</v>
      </c>
      <c r="D706" s="296" t="s">
        <v>2229</v>
      </c>
      <c r="E706" s="295" t="s">
        <v>78</v>
      </c>
      <c r="F706" s="295" t="s">
        <v>1769</v>
      </c>
      <c r="G706" s="295" t="s">
        <v>1565</v>
      </c>
      <c r="H706" s="295" t="s">
        <v>1678</v>
      </c>
      <c r="I706" s="297">
        <v>43606.771319444444</v>
      </c>
      <c r="J706" s="297">
        <v>43623</v>
      </c>
      <c r="K706" s="297">
        <v>44353</v>
      </c>
      <c r="L706" s="297">
        <v>43573</v>
      </c>
      <c r="M706" s="298" t="s">
        <v>2741</v>
      </c>
      <c r="N706" s="296" t="str">
        <f>"Guinee,Kindia,Kindia,Friguiagbé, Mambia"</f>
        <v>Guinee,Kindia,Kindia,Friguiagbé, Mambia</v>
      </c>
    </row>
    <row r="707" spans="2:14" ht="18.75" x14ac:dyDescent="0.15">
      <c r="B707" s="295" t="str">
        <f>"22637"</f>
        <v>22637</v>
      </c>
      <c r="C707" s="295" t="str">
        <f>"A/2019/3946/MMG"</f>
        <v>A/2019/3946/MMG</v>
      </c>
      <c r="D707" s="296" t="s">
        <v>2742</v>
      </c>
      <c r="E707" s="295" t="s">
        <v>154</v>
      </c>
      <c r="F707" s="295" t="s">
        <v>644</v>
      </c>
      <c r="G707" s="295" t="s">
        <v>1565</v>
      </c>
      <c r="H707" s="295" t="s">
        <v>1873</v>
      </c>
      <c r="I707" s="297">
        <v>43608.554618055554</v>
      </c>
      <c r="J707" s="297">
        <v>43623</v>
      </c>
      <c r="K707" s="297">
        <v>44718</v>
      </c>
      <c r="L707" s="297">
        <v>43563</v>
      </c>
      <c r="M707" s="298" t="s">
        <v>2743</v>
      </c>
      <c r="N707" s="296" t="str">
        <f>"Guinee,Kankan,Mandiana,Kantoumanina, Saladou"</f>
        <v>Guinee,Kankan,Mandiana,Kantoumanina, Saladou</v>
      </c>
    </row>
    <row r="708" spans="2:14" ht="27" x14ac:dyDescent="0.15">
      <c r="B708" s="295" t="str">
        <f>"22584"</f>
        <v>22584</v>
      </c>
      <c r="C708" s="295" t="str">
        <f>"A/2019/3942/MMG"</f>
        <v>A/2019/3942/MMG</v>
      </c>
      <c r="D708" s="296" t="s">
        <v>232</v>
      </c>
      <c r="E708" s="295" t="s">
        <v>254</v>
      </c>
      <c r="F708" s="295" t="s">
        <v>1568</v>
      </c>
      <c r="G708" s="295" t="s">
        <v>1565</v>
      </c>
      <c r="H708" s="295" t="s">
        <v>1678</v>
      </c>
      <c r="I708" s="297">
        <v>43536.539224537039</v>
      </c>
      <c r="J708" s="297">
        <v>43623</v>
      </c>
      <c r="K708" s="297">
        <v>44718</v>
      </c>
      <c r="L708" s="297">
        <v>43535</v>
      </c>
      <c r="M708" s="298" t="s">
        <v>2744</v>
      </c>
      <c r="N708" s="296" t="str">
        <f>"Guinee,Boke,Gaoual,Kakony, Koumbia"</f>
        <v>Guinee,Boke,Gaoual,Kakony, Koumbia</v>
      </c>
    </row>
    <row r="709" spans="2:14" ht="18.75" x14ac:dyDescent="0.15">
      <c r="B709" s="295" t="str">
        <f>"22624"</f>
        <v>22624</v>
      </c>
      <c r="C709" s="295" t="str">
        <f>"A/2019/3889/MMG"</f>
        <v>A/2019/3889/MMG</v>
      </c>
      <c r="D709" s="296" t="s">
        <v>2745</v>
      </c>
      <c r="E709" s="295" t="s">
        <v>154</v>
      </c>
      <c r="F709" s="295" t="s">
        <v>644</v>
      </c>
      <c r="G709" s="295" t="s">
        <v>1565</v>
      </c>
      <c r="H709" s="295" t="s">
        <v>1565</v>
      </c>
      <c r="I709" s="297">
        <v>43595.571944444448</v>
      </c>
      <c r="J709" s="297">
        <v>43615</v>
      </c>
      <c r="K709" s="297">
        <v>44710</v>
      </c>
      <c r="L709" s="297">
        <v>43536</v>
      </c>
      <c r="M709" s="298" t="s">
        <v>2746</v>
      </c>
      <c r="N709" s="296" t="str">
        <f>"Guinee,Kankan,Siguiri,Norassoba"</f>
        <v>Guinee,Kankan,Siguiri,Norassoba</v>
      </c>
    </row>
    <row r="710" spans="2:14" x14ac:dyDescent="0.15">
      <c r="B710" s="295" t="str">
        <f>"22551"</f>
        <v>22551</v>
      </c>
      <c r="C710" s="295" t="str">
        <f>"A/2019/146/MMG/SGG"</f>
        <v>A/2019/146/MMG/SGG</v>
      </c>
      <c r="D710" s="296" t="s">
        <v>2747</v>
      </c>
      <c r="E710" s="295" t="s">
        <v>78</v>
      </c>
      <c r="F710" s="295" t="s">
        <v>1769</v>
      </c>
      <c r="G710" s="295" t="s">
        <v>1565</v>
      </c>
      <c r="H710" s="295" t="s">
        <v>1565</v>
      </c>
      <c r="I710" s="297">
        <v>43482.414398148147</v>
      </c>
      <c r="J710" s="297">
        <v>43500</v>
      </c>
      <c r="K710" s="297">
        <v>44230</v>
      </c>
      <c r="L710" s="297">
        <v>43462</v>
      </c>
      <c r="M710" s="298" t="s">
        <v>2748</v>
      </c>
      <c r="N710" s="296" t="str">
        <f>"Guinee,Kindia,Dubreka,Khorira"</f>
        <v>Guinee,Kindia,Dubreka,Khorira</v>
      </c>
    </row>
    <row r="711" spans="2:14" x14ac:dyDescent="0.15">
      <c r="B711" s="295" t="str">
        <f>"22549"</f>
        <v>22549</v>
      </c>
      <c r="C711" s="295" t="str">
        <f>"A/2019/145/MMG/SGG"</f>
        <v>A/2019/145/MMG/SGG</v>
      </c>
      <c r="D711" s="296" t="s">
        <v>2747</v>
      </c>
      <c r="E711" s="295" t="s">
        <v>78</v>
      </c>
      <c r="F711" s="295" t="s">
        <v>1769</v>
      </c>
      <c r="G711" s="295" t="s">
        <v>1565</v>
      </c>
      <c r="H711" s="295" t="s">
        <v>1565</v>
      </c>
      <c r="I711" s="297">
        <v>43482.380312499998</v>
      </c>
      <c r="J711" s="297">
        <v>43500</v>
      </c>
      <c r="K711" s="297">
        <v>44230</v>
      </c>
      <c r="L711" s="297">
        <v>43462</v>
      </c>
      <c r="M711" s="298" t="s">
        <v>2749</v>
      </c>
      <c r="N711" s="296" t="str">
        <f>"Guinee,Kindia,Dubreka,Khorira"</f>
        <v>Guinee,Kindia,Dubreka,Khorira</v>
      </c>
    </row>
    <row r="712" spans="2:14" x14ac:dyDescent="0.15">
      <c r="B712" s="295" t="str">
        <f>"22360"</f>
        <v>22360</v>
      </c>
      <c r="C712" s="295" t="str">
        <f>"A/2019/143/MMG/SGG"</f>
        <v>A/2019/143/MMG/SGG</v>
      </c>
      <c r="D712" s="296" t="s">
        <v>2750</v>
      </c>
      <c r="E712" s="295" t="s">
        <v>78</v>
      </c>
      <c r="F712" s="295" t="s">
        <v>1781</v>
      </c>
      <c r="G712" s="295" t="s">
        <v>1565</v>
      </c>
      <c r="H712" s="295" t="s">
        <v>1565</v>
      </c>
      <c r="I712" s="297">
        <v>43237.525289351855</v>
      </c>
      <c r="J712" s="297">
        <v>43500</v>
      </c>
      <c r="K712" s="297">
        <v>44230</v>
      </c>
      <c r="L712" s="297">
        <v>43202</v>
      </c>
      <c r="M712" s="298" t="s">
        <v>2751</v>
      </c>
      <c r="N712" s="296" t="str">
        <f>"Guinee,Boke,Boffa,Tougnifily"</f>
        <v>Guinee,Boke,Boffa,Tougnifily</v>
      </c>
    </row>
    <row r="713" spans="2:14" ht="18.75" x14ac:dyDescent="0.15">
      <c r="B713" s="295" t="str">
        <f>"22592"</f>
        <v>22592</v>
      </c>
      <c r="C713" s="295" t="str">
        <f>"A/2019/1161/MMG"</f>
        <v>A/2019/1161/MMG</v>
      </c>
      <c r="D713" s="296" t="s">
        <v>2668</v>
      </c>
      <c r="E713" s="295" t="s">
        <v>154</v>
      </c>
      <c r="F713" s="295" t="s">
        <v>644</v>
      </c>
      <c r="G713" s="295" t="s">
        <v>1565</v>
      </c>
      <c r="H713" s="295" t="s">
        <v>1873</v>
      </c>
      <c r="I713" s="297">
        <v>43551.569016203706</v>
      </c>
      <c r="J713" s="297">
        <v>43564</v>
      </c>
      <c r="K713" s="297">
        <v>44659</v>
      </c>
      <c r="L713" s="297">
        <v>43411</v>
      </c>
      <c r="M713" s="298" t="s">
        <v>2752</v>
      </c>
      <c r="N713" s="296" t="str">
        <f>"Guinee,Kankan,Kouroussa,Komola-khoura, Sanguiana"</f>
        <v>Guinee,Kankan,Kouroussa,Komola-khoura, Sanguiana</v>
      </c>
    </row>
    <row r="714" spans="2:14" ht="27" x14ac:dyDescent="0.15">
      <c r="B714" s="295" t="str">
        <f>"20190"</f>
        <v>20190</v>
      </c>
      <c r="C714" s="295" t="str">
        <f>"A/2018/8350/MMG/SGG"</f>
        <v>A/2018/8350/MMG/SGG</v>
      </c>
      <c r="D714" s="296" t="s">
        <v>1598</v>
      </c>
      <c r="E714" s="295" t="s">
        <v>1820</v>
      </c>
      <c r="F714" s="295" t="s">
        <v>640</v>
      </c>
      <c r="G714" s="295" t="s">
        <v>1565</v>
      </c>
      <c r="H714" s="295" t="s">
        <v>1565</v>
      </c>
      <c r="I714" s="297">
        <v>42265.569097222222</v>
      </c>
      <c r="J714" s="297">
        <v>42265</v>
      </c>
      <c r="K714" s="297">
        <v>44196</v>
      </c>
      <c r="L714" s="297">
        <v>42173</v>
      </c>
      <c r="M714" s="298" t="s">
        <v>2753</v>
      </c>
      <c r="N714" s="296" t="str">
        <f>"Guinee,Faranah,Kissidougo,Bardou, Kondiadou"</f>
        <v>Guinee,Faranah,Kissidougo,Bardou, Kondiadou</v>
      </c>
    </row>
    <row r="715" spans="2:14" x14ac:dyDescent="0.15">
      <c r="B715" s="295" t="str">
        <f>"22538"</f>
        <v>22538</v>
      </c>
      <c r="C715" s="295" t="str">
        <f>"A/2018/8346/MMG/SGG"</f>
        <v>A/2018/8346/MMG/SGG</v>
      </c>
      <c r="D715" s="296" t="s">
        <v>2754</v>
      </c>
      <c r="E715" s="295" t="s">
        <v>78</v>
      </c>
      <c r="F715" s="295" t="s">
        <v>1769</v>
      </c>
      <c r="G715" s="295" t="s">
        <v>1565</v>
      </c>
      <c r="H715" s="295" t="s">
        <v>1565</v>
      </c>
      <c r="I715" s="297">
        <v>43453.526909722219</v>
      </c>
      <c r="J715" s="297">
        <v>43465</v>
      </c>
      <c r="K715" s="297">
        <v>45163</v>
      </c>
      <c r="L715" s="297">
        <v>43420</v>
      </c>
      <c r="M715" s="298" t="s">
        <v>2755</v>
      </c>
      <c r="N715" s="296" t="str">
        <f>"Guinee,Kindia,Dubreka,Khorira"</f>
        <v>Guinee,Kindia,Dubreka,Khorira</v>
      </c>
    </row>
    <row r="716" spans="2:14" ht="18.75" x14ac:dyDescent="0.15">
      <c r="B716" s="295" t="str">
        <f>"22531"</f>
        <v>22531</v>
      </c>
      <c r="C716" s="295" t="str">
        <f>"A/2018/8317/MMG/SGG "</f>
        <v xml:space="preserve">A/2018/8317/MMG/SGG </v>
      </c>
      <c r="D716" s="296" t="s">
        <v>2756</v>
      </c>
      <c r="E716" s="295" t="s">
        <v>154</v>
      </c>
      <c r="F716" s="295" t="s">
        <v>644</v>
      </c>
      <c r="G716" s="295" t="s">
        <v>1565</v>
      </c>
      <c r="H716" s="295" t="s">
        <v>1565</v>
      </c>
      <c r="I716" s="297">
        <v>43446.459374999999</v>
      </c>
      <c r="J716" s="297">
        <v>43462</v>
      </c>
      <c r="K716" s="297">
        <v>44557</v>
      </c>
      <c r="L716" s="297">
        <v>43446</v>
      </c>
      <c r="M716" s="298" t="s">
        <v>2757</v>
      </c>
      <c r="N716" s="296" t="str">
        <f>"Guinee,Kankan,Mandiana,Faralako"</f>
        <v>Guinee,Kankan,Mandiana,Faralako</v>
      </c>
    </row>
    <row r="717" spans="2:14" x14ac:dyDescent="0.15">
      <c r="B717" s="295" t="str">
        <f>"22526"</f>
        <v>22526</v>
      </c>
      <c r="C717" s="295" t="str">
        <f>"A/2018/8282"</f>
        <v>A/2018/8282</v>
      </c>
      <c r="D717" s="296" t="s">
        <v>2134</v>
      </c>
      <c r="E717" s="295" t="s">
        <v>78</v>
      </c>
      <c r="F717" s="295" t="s">
        <v>1769</v>
      </c>
      <c r="G717" s="295" t="s">
        <v>1565</v>
      </c>
      <c r="H717" s="295" t="s">
        <v>1565</v>
      </c>
      <c r="I717" s="297">
        <v>43440.45144675926</v>
      </c>
      <c r="J717" s="297">
        <v>43458</v>
      </c>
      <c r="K717" s="297">
        <v>44188</v>
      </c>
      <c r="L717" s="297">
        <v>43223</v>
      </c>
      <c r="M717" s="298" t="s">
        <v>2758</v>
      </c>
      <c r="N717" s="296" t="str">
        <f>"Guinee,Kindia,Forecariah,Allassoyah"</f>
        <v>Guinee,Kindia,Forecariah,Allassoyah</v>
      </c>
    </row>
    <row r="718" spans="2:14" ht="18.75" x14ac:dyDescent="0.15">
      <c r="B718" s="295" t="str">
        <f>"22530"</f>
        <v>22530</v>
      </c>
      <c r="C718" s="295" t="str">
        <f>"A/2018/8281/MMG/SGG"</f>
        <v>A/2018/8281/MMG/SGG</v>
      </c>
      <c r="D718" s="296" t="s">
        <v>2759</v>
      </c>
      <c r="E718" s="295" t="s">
        <v>154</v>
      </c>
      <c r="F718" s="295" t="s">
        <v>644</v>
      </c>
      <c r="G718" s="295" t="s">
        <v>1565</v>
      </c>
      <c r="H718" s="295" t="s">
        <v>1565</v>
      </c>
      <c r="I718" s="297">
        <v>43444.543773148151</v>
      </c>
      <c r="J718" s="297">
        <v>43458</v>
      </c>
      <c r="K718" s="297">
        <v>44553</v>
      </c>
      <c r="L718" s="297">
        <v>43346</v>
      </c>
      <c r="M718" s="298" t="s">
        <v>2760</v>
      </c>
      <c r="N718" s="296" t="str">
        <f>"Guinee,Kankan,Mandiana,Kantoumanina, Saladou"</f>
        <v>Guinee,Kankan,Mandiana,Kantoumanina, Saladou</v>
      </c>
    </row>
    <row r="719" spans="2:14" ht="27" x14ac:dyDescent="0.15">
      <c r="B719" s="295" t="str">
        <f>"22533"</f>
        <v>22533</v>
      </c>
      <c r="C719" s="295" t="str">
        <f>"A/2018/8280/MMG/SGG "</f>
        <v xml:space="preserve">A/2018/8280/MMG/SGG </v>
      </c>
      <c r="D719" s="296" t="s">
        <v>2761</v>
      </c>
      <c r="E719" s="295" t="s">
        <v>154</v>
      </c>
      <c r="F719" s="295" t="s">
        <v>644</v>
      </c>
      <c r="G719" s="295" t="s">
        <v>1565</v>
      </c>
      <c r="H719" s="295" t="s">
        <v>1678</v>
      </c>
      <c r="I719" s="297">
        <v>43446.633842592593</v>
      </c>
      <c r="J719" s="297">
        <v>43454</v>
      </c>
      <c r="K719" s="297">
        <v>44549</v>
      </c>
      <c r="L719" s="297">
        <v>43419</v>
      </c>
      <c r="M719" s="298" t="s">
        <v>2762</v>
      </c>
      <c r="N719" s="296" t="str">
        <f>"Guinee,Kankan,Siguiri,Niagassola"</f>
        <v>Guinee,Kankan,Siguiri,Niagassola</v>
      </c>
    </row>
    <row r="720" spans="2:14" ht="27" x14ac:dyDescent="0.15">
      <c r="B720" s="295" t="str">
        <f>"22503"</f>
        <v>22503</v>
      </c>
      <c r="C720" s="295" t="str">
        <f>"A/2018/8247/MMG/SGG"</f>
        <v>A/2018/8247/MMG/SGG</v>
      </c>
      <c r="D720" s="296" t="s">
        <v>2462</v>
      </c>
      <c r="E720" s="295" t="s">
        <v>154</v>
      </c>
      <c r="F720" s="295" t="s">
        <v>644</v>
      </c>
      <c r="G720" s="295" t="s">
        <v>1565</v>
      </c>
      <c r="H720" s="295" t="s">
        <v>1565</v>
      </c>
      <c r="I720" s="297">
        <v>43419.623773148145</v>
      </c>
      <c r="J720" s="297">
        <v>43454</v>
      </c>
      <c r="K720" s="297">
        <v>44549</v>
      </c>
      <c r="L720" s="297">
        <v>43419</v>
      </c>
      <c r="M720" s="298" t="s">
        <v>2763</v>
      </c>
      <c r="N720" s="296" t="str">
        <f>"Guinee,Kankan,Mandiana,Faralako, Niantanina"</f>
        <v>Guinee,Kankan,Mandiana,Faralako, Niantanina</v>
      </c>
    </row>
    <row r="721" spans="2:14" x14ac:dyDescent="0.15">
      <c r="B721" s="295" t="str">
        <f>"22481"</f>
        <v>22481</v>
      </c>
      <c r="C721" s="295" t="str">
        <f>"A/2018/7862/MMG/SGG"</f>
        <v>A/2018/7862/MMG/SGG</v>
      </c>
      <c r="D721" s="296" t="s">
        <v>2750</v>
      </c>
      <c r="E721" s="295" t="s">
        <v>78</v>
      </c>
      <c r="F721" s="295" t="s">
        <v>1769</v>
      </c>
      <c r="G721" s="295" t="s">
        <v>1565</v>
      </c>
      <c r="H721" s="295" t="s">
        <v>1565</v>
      </c>
      <c r="I721" s="297">
        <v>43391.592731481483</v>
      </c>
      <c r="J721" s="297">
        <v>43420</v>
      </c>
      <c r="K721" s="297">
        <v>44150</v>
      </c>
      <c r="L721" s="297">
        <v>43315</v>
      </c>
      <c r="M721" s="298" t="s">
        <v>2443</v>
      </c>
      <c r="N721" s="296" t="str">
        <f>"Guinee,Kindia,Dubreka,Khorira"</f>
        <v>Guinee,Kindia,Dubreka,Khorira</v>
      </c>
    </row>
    <row r="722" spans="2:14" ht="18.75" x14ac:dyDescent="0.15">
      <c r="B722" s="295" t="str">
        <f>"22476"</f>
        <v>22476</v>
      </c>
      <c r="C722" s="295" t="str">
        <f>"A/2018/7856/MMG"</f>
        <v>A/2018/7856/MMG</v>
      </c>
      <c r="D722" s="296" t="s">
        <v>2764</v>
      </c>
      <c r="E722" s="295" t="s">
        <v>154</v>
      </c>
      <c r="F722" s="295" t="s">
        <v>644</v>
      </c>
      <c r="G722" s="295" t="s">
        <v>1565</v>
      </c>
      <c r="H722" s="295" t="s">
        <v>1565</v>
      </c>
      <c r="I722" s="297">
        <v>43383.632789351854</v>
      </c>
      <c r="J722" s="297">
        <v>43420</v>
      </c>
      <c r="K722" s="297">
        <v>44515</v>
      </c>
      <c r="L722" s="297">
        <v>43340</v>
      </c>
      <c r="M722" s="298" t="s">
        <v>2765</v>
      </c>
      <c r="N722" s="296" t="str">
        <f>"Guinee,Kankan,Kankan,Moribayah"</f>
        <v>Guinee,Kankan,Kankan,Moribayah</v>
      </c>
    </row>
    <row r="723" spans="2:14" ht="18.75" x14ac:dyDescent="0.15">
      <c r="B723" s="295" t="str">
        <f>"22421"</f>
        <v>22421</v>
      </c>
      <c r="C723" s="295" t="str">
        <f>"A/2018/6500/MMG"</f>
        <v>A/2018/6500/MMG</v>
      </c>
      <c r="D723" s="296" t="s">
        <v>2766</v>
      </c>
      <c r="E723" s="295" t="s">
        <v>154</v>
      </c>
      <c r="F723" s="295" t="s">
        <v>644</v>
      </c>
      <c r="G723" s="295" t="s">
        <v>1565</v>
      </c>
      <c r="H723" s="295" t="s">
        <v>1873</v>
      </c>
      <c r="I723" s="297">
        <v>43315.539421296293</v>
      </c>
      <c r="J723" s="297">
        <v>43374</v>
      </c>
      <c r="K723" s="297">
        <v>44469</v>
      </c>
      <c r="L723" s="297">
        <v>43224</v>
      </c>
      <c r="M723" s="298" t="s">
        <v>2767</v>
      </c>
      <c r="N723" s="296" t="str">
        <f>"Guinee,Kankan,Mandiana,Dialokoro"</f>
        <v>Guinee,Kankan,Mandiana,Dialokoro</v>
      </c>
    </row>
    <row r="724" spans="2:14" ht="27" x14ac:dyDescent="0.15">
      <c r="B724" s="295" t="str">
        <f>"22408"</f>
        <v>22408</v>
      </c>
      <c r="C724" s="295" t="str">
        <f>"A/2018/5400/MMG/SGG"</f>
        <v>A/2018/5400/MMG/SGG</v>
      </c>
      <c r="D724" s="296" t="s">
        <v>2768</v>
      </c>
      <c r="E724" s="295" t="s">
        <v>154</v>
      </c>
      <c r="F724" s="295" t="s">
        <v>644</v>
      </c>
      <c r="G724" s="295" t="s">
        <v>1565</v>
      </c>
      <c r="H724" s="295" t="s">
        <v>1678</v>
      </c>
      <c r="I724" s="297">
        <v>43297.600717592592</v>
      </c>
      <c r="J724" s="297">
        <v>43326</v>
      </c>
      <c r="K724" s="297">
        <v>44421</v>
      </c>
      <c r="L724" s="297">
        <v>43270</v>
      </c>
      <c r="M724" s="298" t="s">
        <v>2769</v>
      </c>
      <c r="N724" s="296" t="str">
        <f>"Guinee,Kankan,Mandiana,Dialokoro, Kiniéran"</f>
        <v>Guinee,Kankan,Mandiana,Dialokoro, Kiniéran</v>
      </c>
    </row>
    <row r="725" spans="2:14" ht="27" x14ac:dyDescent="0.15">
      <c r="B725" s="295" t="str">
        <f>"21970"</f>
        <v>21970</v>
      </c>
      <c r="C725" s="295" t="str">
        <f>"A/2018/5399/MMG"</f>
        <v>A/2018/5399/MMG</v>
      </c>
      <c r="D725" s="296" t="s">
        <v>2132</v>
      </c>
      <c r="E725" s="295" t="s">
        <v>78</v>
      </c>
      <c r="F725" s="295" t="s">
        <v>1769</v>
      </c>
      <c r="G725" s="295" t="s">
        <v>1565</v>
      </c>
      <c r="H725" s="295" t="s">
        <v>1678</v>
      </c>
      <c r="I725" s="297">
        <v>42033.396261574075</v>
      </c>
      <c r="J725" s="297">
        <v>42080</v>
      </c>
      <c r="K725" s="297">
        <v>44903</v>
      </c>
      <c r="L725" s="297">
        <v>42033</v>
      </c>
      <c r="M725" s="298" t="s">
        <v>2770</v>
      </c>
      <c r="N725" s="296" t="str">
        <f>"Guinee,Kindia,Dubreka,Dubréka, Khorira"</f>
        <v>Guinee,Kindia,Dubreka,Dubréka, Khorira</v>
      </c>
    </row>
    <row r="726" spans="2:14" ht="18.75" x14ac:dyDescent="0.15">
      <c r="B726" s="295" t="str">
        <f>"22405"</f>
        <v>22405</v>
      </c>
      <c r="C726" s="295" t="str">
        <f>"A/2018/5399/MMG"</f>
        <v>A/2018/5399/MMG</v>
      </c>
      <c r="D726" s="296" t="s">
        <v>2771</v>
      </c>
      <c r="E726" s="295" t="s">
        <v>154</v>
      </c>
      <c r="F726" s="295" t="s">
        <v>644</v>
      </c>
      <c r="G726" s="295" t="s">
        <v>1565</v>
      </c>
      <c r="H726" s="295" t="s">
        <v>1565</v>
      </c>
      <c r="I726" s="297">
        <v>43293.47865740741</v>
      </c>
      <c r="J726" s="297">
        <v>43326</v>
      </c>
      <c r="K726" s="297">
        <v>44421</v>
      </c>
      <c r="L726" s="297">
        <v>43286</v>
      </c>
      <c r="M726" s="298" t="s">
        <v>2772</v>
      </c>
      <c r="N726" s="296" t="str">
        <f>"Guinee,Kankan,Kankan,Balandougou, Missamana, Tinti-Oulen"</f>
        <v>Guinee,Kankan,Kankan,Balandougou, Missamana, Tinti-Oulen</v>
      </c>
    </row>
    <row r="727" spans="2:14" ht="27" x14ac:dyDescent="0.15">
      <c r="B727" s="295" t="str">
        <f>"22368"</f>
        <v>22368</v>
      </c>
      <c r="C727" s="295" t="str">
        <f>"A/2018/4393/MMG/SGG"</f>
        <v>A/2018/4393/MMG/SGG</v>
      </c>
      <c r="D727" s="296" t="s">
        <v>2773</v>
      </c>
      <c r="E727" s="295" t="s">
        <v>154</v>
      </c>
      <c r="F727" s="295" t="s">
        <v>644</v>
      </c>
      <c r="G727" s="295" t="s">
        <v>1565</v>
      </c>
      <c r="H727" s="295" t="s">
        <v>1565</v>
      </c>
      <c r="I727" s="297">
        <v>43243.710393518515</v>
      </c>
      <c r="J727" s="297">
        <v>43256</v>
      </c>
      <c r="K727" s="297">
        <v>44351</v>
      </c>
      <c r="L727" s="297">
        <v>43235</v>
      </c>
      <c r="M727" s="298" t="s">
        <v>2774</v>
      </c>
      <c r="N727" s="296" t="str">
        <f>"Guinee,Kankan,Siguiri,Norassoba"</f>
        <v>Guinee,Kankan,Siguiri,Norassoba</v>
      </c>
    </row>
    <row r="728" spans="2:14" ht="27" x14ac:dyDescent="0.15">
      <c r="B728" s="295" t="str">
        <f>"22347"</f>
        <v>22347</v>
      </c>
      <c r="C728" s="295" t="str">
        <f>"A/2018/3602/MMG/SGG"</f>
        <v>A/2018/3602/MMG/SGG</v>
      </c>
      <c r="D728" s="296" t="s">
        <v>2775</v>
      </c>
      <c r="E728" s="295" t="s">
        <v>78</v>
      </c>
      <c r="F728" s="295" t="s">
        <v>1769</v>
      </c>
      <c r="G728" s="295" t="s">
        <v>1565</v>
      </c>
      <c r="H728" s="295" t="s">
        <v>1678</v>
      </c>
      <c r="I728" s="297">
        <v>43215.416967592595</v>
      </c>
      <c r="J728" s="297">
        <v>43223</v>
      </c>
      <c r="K728" s="297">
        <v>43953</v>
      </c>
      <c r="L728" s="297">
        <v>43213</v>
      </c>
      <c r="M728" s="298" t="s">
        <v>2776</v>
      </c>
      <c r="N728" s="296" t="str">
        <f>"Guinee,Kindia,Dubreka,Khorira"</f>
        <v>Guinee,Kindia,Dubreka,Khorira</v>
      </c>
    </row>
    <row r="729" spans="2:14" x14ac:dyDescent="0.15">
      <c r="B729" s="295" t="str">
        <f>"22206"</f>
        <v>22206</v>
      </c>
      <c r="C729" s="295" t="str">
        <f>"A/2017/5981/MMG/SGG"</f>
        <v>A/2017/5981/MMG/SGG</v>
      </c>
      <c r="D729" s="296" t="s">
        <v>2777</v>
      </c>
      <c r="E729" s="295" t="s">
        <v>78</v>
      </c>
      <c r="F729" s="295" t="s">
        <v>1769</v>
      </c>
      <c r="G729" s="295" t="s">
        <v>1565</v>
      </c>
      <c r="H729" s="295" t="s">
        <v>1565</v>
      </c>
      <c r="I729" s="297">
        <v>42970.642766203702</v>
      </c>
      <c r="J729" s="297">
        <v>43042</v>
      </c>
      <c r="K729" s="297">
        <v>43771</v>
      </c>
      <c r="L729" s="297">
        <v>42968</v>
      </c>
      <c r="M729" s="298" t="s">
        <v>2778</v>
      </c>
      <c r="N729" s="296" t="str">
        <f>"Guinee,Kindia,Coyah,Wonkifong"</f>
        <v>Guinee,Kindia,Coyah,Wonkifong</v>
      </c>
    </row>
    <row r="730" spans="2:14" x14ac:dyDescent="0.15">
      <c r="B730" s="295" t="str">
        <f>"22202"</f>
        <v>22202</v>
      </c>
      <c r="C730" s="295" t="str">
        <f>"A/2017/5980/MMG/SGG"</f>
        <v>A/2017/5980/MMG/SGG</v>
      </c>
      <c r="D730" s="296" t="s">
        <v>2777</v>
      </c>
      <c r="E730" s="295" t="s">
        <v>78</v>
      </c>
      <c r="F730" s="295" t="s">
        <v>1781</v>
      </c>
      <c r="G730" s="295" t="s">
        <v>1565</v>
      </c>
      <c r="H730" s="295" t="s">
        <v>1565</v>
      </c>
      <c r="I730" s="297">
        <v>42961.464131944442</v>
      </c>
      <c r="J730" s="297">
        <v>43042</v>
      </c>
      <c r="K730" s="297">
        <v>43771</v>
      </c>
      <c r="L730" s="297">
        <v>42957</v>
      </c>
      <c r="M730" s="298" t="s">
        <v>2779</v>
      </c>
      <c r="N730" s="296" t="str">
        <f>"Guinee,Boke,Boke,Malapouyah"</f>
        <v>Guinee,Boke,Boke,Malapouyah</v>
      </c>
    </row>
    <row r="731" spans="2:14" ht="27" x14ac:dyDescent="0.15">
      <c r="B731" s="295" t="str">
        <f>"22175"</f>
        <v>22175</v>
      </c>
      <c r="C731" s="295" t="str">
        <f>"A/2017/3392/MMG/SGG"</f>
        <v>A/2017/3392/MMG/SGG</v>
      </c>
      <c r="D731" s="296" t="s">
        <v>2780</v>
      </c>
      <c r="E731" s="295" t="s">
        <v>78</v>
      </c>
      <c r="F731" s="295" t="s">
        <v>1781</v>
      </c>
      <c r="G731" s="295" t="s">
        <v>1565</v>
      </c>
      <c r="H731" s="295" t="s">
        <v>1678</v>
      </c>
      <c r="I731" s="297">
        <v>42930.51221064815</v>
      </c>
      <c r="J731" s="297">
        <v>42951</v>
      </c>
      <c r="K731" s="297">
        <v>43680</v>
      </c>
      <c r="L731" s="297">
        <v>42920</v>
      </c>
      <c r="M731" s="298" t="s">
        <v>2781</v>
      </c>
      <c r="N731" s="296" t="str">
        <f>"Guinee,Boke,Boke,Boké-centre"</f>
        <v>Guinee,Boke,Boke,Boké-centre</v>
      </c>
    </row>
    <row r="732" spans="2:14" ht="27" x14ac:dyDescent="0.15">
      <c r="B732" s="295" t="str">
        <f>"21137"</f>
        <v>21137</v>
      </c>
      <c r="C732" s="295" t="str">
        <f>"A/2016/1833/MMG/cab"</f>
        <v>A/2016/1833/MMG/cab</v>
      </c>
      <c r="D732" s="296" t="s">
        <v>2782</v>
      </c>
      <c r="E732" s="295" t="s">
        <v>78</v>
      </c>
      <c r="F732" s="295" t="s">
        <v>1781</v>
      </c>
      <c r="G732" s="295" t="s">
        <v>1565</v>
      </c>
      <c r="H732" s="295" t="s">
        <v>1678</v>
      </c>
      <c r="I732" s="297">
        <v>42496.477256944447</v>
      </c>
      <c r="J732" s="297">
        <v>42531</v>
      </c>
      <c r="K732" s="297">
        <v>44522</v>
      </c>
      <c r="L732" s="297">
        <v>42496</v>
      </c>
      <c r="M732" s="298" t="s">
        <v>2783</v>
      </c>
      <c r="N732" s="296" t="str">
        <f>"Guinee,Kindia,Coyah,Kouria"</f>
        <v>Guinee,Kindia,Coyah,Kouria</v>
      </c>
    </row>
    <row r="733" spans="2:14" x14ac:dyDescent="0.15">
      <c r="B733" s="295" t="str">
        <f>"20946"</f>
        <v>20946</v>
      </c>
      <c r="C733" s="295" t="str">
        <f>"A/2016/1118"</f>
        <v>A/2016/1118</v>
      </c>
      <c r="D733" s="296" t="s">
        <v>2784</v>
      </c>
      <c r="E733" s="295" t="s">
        <v>78</v>
      </c>
      <c r="F733" s="295" t="s">
        <v>1769</v>
      </c>
      <c r="G733" s="295" t="s">
        <v>1565</v>
      </c>
      <c r="H733" s="295" t="s">
        <v>1565</v>
      </c>
      <c r="I733" s="297">
        <v>42729.62159722222</v>
      </c>
      <c r="J733" s="297">
        <v>42734</v>
      </c>
      <c r="K733" s="297">
        <v>45001</v>
      </c>
      <c r="L733" s="297">
        <v>42726</v>
      </c>
      <c r="M733" s="298" t="s">
        <v>2785</v>
      </c>
      <c r="N733" s="296" t="str">
        <f>"Guinee,Kindia,Dubreka,Khorira"</f>
        <v>Guinee,Kindia,Dubreka,Khorira</v>
      </c>
    </row>
    <row r="734" spans="2:14" ht="27" x14ac:dyDescent="0.15">
      <c r="B734" s="295" t="str">
        <f>"22680"</f>
        <v>22680</v>
      </c>
      <c r="C734" s="295" t="str">
        <f>"A 2019/4612/MMG"</f>
        <v>A 2019/4612/MMG</v>
      </c>
      <c r="D734" s="296" t="s">
        <v>2786</v>
      </c>
      <c r="E734" s="295" t="s">
        <v>1794</v>
      </c>
      <c r="F734" s="295" t="s">
        <v>1594</v>
      </c>
      <c r="G734" s="295" t="s">
        <v>1565</v>
      </c>
      <c r="H734" s="295" t="s">
        <v>1565</v>
      </c>
      <c r="I734" s="297">
        <v>43648.38417824074</v>
      </c>
      <c r="J734" s="297">
        <v>43662</v>
      </c>
      <c r="K734" s="297">
        <v>44757</v>
      </c>
      <c r="L734" s="297">
        <v>43596</v>
      </c>
      <c r="M734" s="298" t="s">
        <v>2787</v>
      </c>
      <c r="N734" s="296" t="str">
        <f>"Guinee,Faranah,Faranah,Gnaléah, Heremakono, Songoyah"</f>
        <v>Guinee,Faranah,Faranah,Gnaléah, Heremakono, Songoyah</v>
      </c>
    </row>
    <row r="735" spans="2:14" ht="27" x14ac:dyDescent="0.15">
      <c r="B735" s="295" t="str">
        <f>"22620"</f>
        <v>22620</v>
      </c>
      <c r="C735" s="295" t="str">
        <f>"A 2019/3924/ MMG"</f>
        <v>A 2019/3924/ MMG</v>
      </c>
      <c r="D735" s="296" t="s">
        <v>2788</v>
      </c>
      <c r="E735" s="295" t="s">
        <v>254</v>
      </c>
      <c r="F735" s="295" t="s">
        <v>1568</v>
      </c>
      <c r="G735" s="295" t="s">
        <v>1565</v>
      </c>
      <c r="H735" s="295" t="s">
        <v>1678</v>
      </c>
      <c r="I735" s="297">
        <v>43594.439074074071</v>
      </c>
      <c r="J735" s="297">
        <v>43622</v>
      </c>
      <c r="K735" s="297">
        <v>44717</v>
      </c>
      <c r="L735" s="297">
        <v>43570</v>
      </c>
      <c r="M735" s="298" t="s">
        <v>2789</v>
      </c>
      <c r="N735" s="296" t="str">
        <f>"Guinee,Labe,Labe,Daralabé, Noussy; Mamou,Dalaba,Bodié, Kankalabé, Mombéyah; Pita,Bantignel"</f>
        <v>Guinee,Labe,Labe,Daralabé, Noussy; Mamou,Dalaba,Bodié, Kankalabé, Mombéyah; Pita,Bantignel</v>
      </c>
    </row>
    <row r="736" spans="2:14" ht="18.75" x14ac:dyDescent="0.15">
      <c r="B736" s="295" t="str">
        <f>"16315"</f>
        <v>16315</v>
      </c>
      <c r="C736" s="295" t="str">
        <f>" A2006/636/MMG/CAB"</f>
        <v xml:space="preserve"> A2006/636/MMG/CAB</v>
      </c>
      <c r="D736" s="296" t="s">
        <v>2790</v>
      </c>
      <c r="E736" s="295" t="s">
        <v>68</v>
      </c>
      <c r="F736" s="295" t="s">
        <v>1568</v>
      </c>
      <c r="G736" s="295" t="s">
        <v>1565</v>
      </c>
      <c r="H736" s="295" t="s">
        <v>1565</v>
      </c>
      <c r="I736" s="297"/>
      <c r="J736" s="297">
        <v>38678</v>
      </c>
      <c r="K736" s="297">
        <v>47808</v>
      </c>
      <c r="L736" s="297"/>
      <c r="M736" s="298" t="s">
        <v>2791</v>
      </c>
      <c r="N736" s="296" t="str">
        <f>"Guinee,Boke,Boke,Sangaredi, Tanéné"</f>
        <v>Guinee,Boke,Boke,Sangaredi, Tanéné</v>
      </c>
    </row>
    <row r="737" spans="2:14" ht="40.5" x14ac:dyDescent="0.15">
      <c r="B737" s="295" t="str">
        <f>"619"</f>
        <v>619</v>
      </c>
      <c r="C737" s="299" t="str">
        <f>""</f>
        <v/>
      </c>
      <c r="D737" s="300"/>
      <c r="E737" s="295" t="s">
        <v>2792</v>
      </c>
      <c r="F737" s="295" t="s">
        <v>640</v>
      </c>
      <c r="G737" s="295" t="s">
        <v>1565</v>
      </c>
      <c r="H737" s="295" t="s">
        <v>1565</v>
      </c>
      <c r="I737" s="297"/>
      <c r="J737" s="297">
        <v>33752</v>
      </c>
      <c r="K737" s="297">
        <v>73050</v>
      </c>
      <c r="L737" s="297"/>
      <c r="M737" s="298" t="s">
        <v>2793</v>
      </c>
      <c r="N737" s="296" t="str">
        <f>"Guinee,Kankan,Kerouane,Banankoro, Kérouané-centre, Komodou, Konsankoro, Sibiribaro, Soromaya; N'Zerekore,Macenta,Binikala, Vassérédou"</f>
        <v>Guinee,Kankan,Kerouane,Banankoro, Kérouané-centre, Komodou, Konsankoro, Sibiribaro, Soromaya; N'Zerekore,Macenta,Binikala, Vassérédou</v>
      </c>
    </row>
    <row r="738" spans="2:14" ht="18.75" x14ac:dyDescent="0.15">
      <c r="B738" s="295" t="str">
        <f>"8150"</f>
        <v>8150</v>
      </c>
      <c r="C738" s="295" t="str">
        <f>""</f>
        <v/>
      </c>
      <c r="D738" s="296"/>
      <c r="E738" s="295" t="s">
        <v>2792</v>
      </c>
      <c r="F738" s="295" t="s">
        <v>640</v>
      </c>
      <c r="G738" s="295" t="s">
        <v>1565</v>
      </c>
      <c r="H738" s="295" t="s">
        <v>1565</v>
      </c>
      <c r="I738" s="297"/>
      <c r="J738" s="297">
        <v>38048</v>
      </c>
      <c r="K738" s="297">
        <v>73050</v>
      </c>
      <c r="L738" s="297"/>
      <c r="M738" s="298" t="s">
        <v>2794</v>
      </c>
      <c r="N738" s="296" t="str">
        <f>"Guinee,Kankan,Kerouane,Banankoro, Kérouané-centre"</f>
        <v>Guinee,Kankan,Kerouane,Banankoro, Kérouané-centre</v>
      </c>
    </row>
    <row r="739" spans="2:14" ht="18.75" x14ac:dyDescent="0.15">
      <c r="B739" s="295" t="str">
        <f>"8267"</f>
        <v>8267</v>
      </c>
      <c r="C739" s="295" t="str">
        <f>""</f>
        <v/>
      </c>
      <c r="D739" s="296"/>
      <c r="E739" s="295" t="s">
        <v>2792</v>
      </c>
      <c r="F739" s="295" t="s">
        <v>640</v>
      </c>
      <c r="G739" s="295" t="s">
        <v>1565</v>
      </c>
      <c r="H739" s="295" t="s">
        <v>1565</v>
      </c>
      <c r="I739" s="297"/>
      <c r="J739" s="297">
        <v>38048</v>
      </c>
      <c r="K739" s="297">
        <v>73050</v>
      </c>
      <c r="L739" s="297"/>
      <c r="M739" s="298" t="s">
        <v>2795</v>
      </c>
      <c r="N739" s="296" t="str">
        <f>"Guinee,Kankan,Kerouane,Banankoro"</f>
        <v>Guinee,Kankan,Kerouane,Banankoro</v>
      </c>
    </row>
    <row r="740" spans="2:14" ht="27" x14ac:dyDescent="0.15">
      <c r="B740" s="295" t="str">
        <f>"16261"</f>
        <v>16261</v>
      </c>
      <c r="C740" s="295" t="str">
        <f>""</f>
        <v/>
      </c>
      <c r="D740" s="296"/>
      <c r="E740" s="295" t="s">
        <v>2792</v>
      </c>
      <c r="F740" s="295"/>
      <c r="G740" s="295" t="s">
        <v>1565</v>
      </c>
      <c r="H740" s="295" t="s">
        <v>1565</v>
      </c>
      <c r="I740" s="297"/>
      <c r="J740" s="297">
        <v>40487</v>
      </c>
      <c r="K740" s="297">
        <v>41217</v>
      </c>
      <c r="L740" s="297"/>
      <c r="M740" s="298" t="s">
        <v>2796</v>
      </c>
      <c r="N740" s="296" t="str">
        <f>"Guinee,Kankan,Kerouane,Banankoro, Kérouané-centre, Sibiribaro, Soromaya"</f>
        <v>Guinee,Kankan,Kerouane,Banankoro, Kérouané-centre, Sibiribaro, Soromaya</v>
      </c>
    </row>
    <row r="741" spans="2:14" ht="18.75" x14ac:dyDescent="0.15">
      <c r="B741" s="295" t="str">
        <f>"20777"</f>
        <v>20777</v>
      </c>
      <c r="C741" s="295" t="str">
        <f>""</f>
        <v/>
      </c>
      <c r="D741" s="296" t="s">
        <v>1982</v>
      </c>
      <c r="E741" s="295" t="s">
        <v>68</v>
      </c>
      <c r="F741" s="295" t="s">
        <v>644</v>
      </c>
      <c r="G741" s="295" t="s">
        <v>1565</v>
      </c>
      <c r="H741" s="295" t="s">
        <v>1565</v>
      </c>
      <c r="I741" s="297"/>
      <c r="J741" s="297">
        <v>35646</v>
      </c>
      <c r="K741" s="297">
        <v>44776</v>
      </c>
      <c r="L741" s="297"/>
      <c r="M741" s="298" t="s">
        <v>2797</v>
      </c>
      <c r="N741" s="296" t="str">
        <f>"Guinee,Kankan,Siguiri,Franwalia, Kintinian, Siguiri-centre"</f>
        <v>Guinee,Kankan,Siguiri,Franwalia, Kintinian, Siguiri-centre</v>
      </c>
    </row>
    <row r="742" spans="2:14" ht="18.75" x14ac:dyDescent="0.15">
      <c r="B742" s="295" t="str">
        <f>"20778"</f>
        <v>20778</v>
      </c>
      <c r="C742" s="295" t="str">
        <f>""</f>
        <v/>
      </c>
      <c r="D742" s="296" t="s">
        <v>1982</v>
      </c>
      <c r="E742" s="295" t="s">
        <v>68</v>
      </c>
      <c r="F742" s="295" t="s">
        <v>644</v>
      </c>
      <c r="G742" s="295" t="s">
        <v>1565</v>
      </c>
      <c r="H742" s="295" t="s">
        <v>1565</v>
      </c>
      <c r="I742" s="297"/>
      <c r="J742" s="297">
        <v>35646</v>
      </c>
      <c r="K742" s="297">
        <v>44776</v>
      </c>
      <c r="L742" s="297"/>
      <c r="M742" s="298" t="s">
        <v>2798</v>
      </c>
      <c r="N742" s="296" t="str">
        <f>"Guinee,Kankan,Siguiri,Kintinian, Maléa"</f>
        <v>Guinee,Kankan,Siguiri,Kintinian, Maléa</v>
      </c>
    </row>
    <row r="743" spans="2:14" ht="18.75" x14ac:dyDescent="0.15">
      <c r="B743" s="295" t="str">
        <f>"20779"</f>
        <v>20779</v>
      </c>
      <c r="C743" s="295" t="str">
        <f>""</f>
        <v/>
      </c>
      <c r="D743" s="296" t="s">
        <v>1982</v>
      </c>
      <c r="E743" s="295" t="s">
        <v>68</v>
      </c>
      <c r="F743" s="295" t="s">
        <v>644</v>
      </c>
      <c r="G743" s="295" t="s">
        <v>1565</v>
      </c>
      <c r="H743" s="295" t="s">
        <v>1565</v>
      </c>
      <c r="I743" s="297"/>
      <c r="J743" s="297">
        <v>35646</v>
      </c>
      <c r="K743" s="297">
        <v>44776</v>
      </c>
      <c r="L743" s="297"/>
      <c r="M743" s="298" t="s">
        <v>2799</v>
      </c>
      <c r="N743" s="296" t="str">
        <f>"Guinee,Kankan,Siguiri,Doko, Niagassola"</f>
        <v>Guinee,Kankan,Siguiri,Doko, Niagassola</v>
      </c>
    </row>
    <row r="744" spans="2:14" ht="18.75" x14ac:dyDescent="0.15">
      <c r="B744" s="295" t="str">
        <f>"20780"</f>
        <v>20780</v>
      </c>
      <c r="C744" s="295" t="str">
        <f>""</f>
        <v/>
      </c>
      <c r="D744" s="296" t="s">
        <v>1982</v>
      </c>
      <c r="E744" s="295" t="s">
        <v>68</v>
      </c>
      <c r="F744" s="295" t="s">
        <v>644</v>
      </c>
      <c r="G744" s="295" t="s">
        <v>1565</v>
      </c>
      <c r="H744" s="295" t="s">
        <v>1565</v>
      </c>
      <c r="I744" s="297"/>
      <c r="J744" s="297">
        <v>35646</v>
      </c>
      <c r="K744" s="297">
        <v>44776</v>
      </c>
      <c r="L744" s="297"/>
      <c r="M744" s="298" t="s">
        <v>2800</v>
      </c>
      <c r="N744" s="296" t="str">
        <f>"Guinee,Kankan,Siguiri,Doko"</f>
        <v>Guinee,Kankan,Siguiri,Doko</v>
      </c>
    </row>
    <row r="745" spans="2:14" ht="18.75" x14ac:dyDescent="0.15">
      <c r="B745" s="295" t="str">
        <f>"20945"</f>
        <v>20945</v>
      </c>
      <c r="C745" s="295" t="str">
        <f>""</f>
        <v/>
      </c>
      <c r="D745" s="296" t="s">
        <v>2801</v>
      </c>
      <c r="E745" s="295" t="s">
        <v>78</v>
      </c>
      <c r="F745" s="295" t="s">
        <v>1769</v>
      </c>
      <c r="G745" s="295" t="s">
        <v>1565</v>
      </c>
      <c r="H745" s="295" t="s">
        <v>1565</v>
      </c>
      <c r="I745" s="297">
        <v>42443</v>
      </c>
      <c r="J745" s="297">
        <v>42481</v>
      </c>
      <c r="K745" s="297">
        <v>43210</v>
      </c>
      <c r="L745" s="297">
        <v>42443</v>
      </c>
      <c r="M745" s="298" t="s">
        <v>2802</v>
      </c>
      <c r="N745" s="296" t="str">
        <f>"Guinee,N'Zerekore,N'Zerekore,Yalenzou"</f>
        <v>Guinee,N'Zerekore,N'Zerekore,Yalenzou</v>
      </c>
    </row>
    <row r="746" spans="2:14" ht="27" x14ac:dyDescent="0.15">
      <c r="B746" s="295" t="str">
        <f>"20951"</f>
        <v>20951</v>
      </c>
      <c r="C746" s="295" t="str">
        <f>""</f>
        <v/>
      </c>
      <c r="D746" s="296" t="s">
        <v>2803</v>
      </c>
      <c r="E746" s="295" t="s">
        <v>78</v>
      </c>
      <c r="F746" s="295" t="s">
        <v>1769</v>
      </c>
      <c r="G746" s="295" t="s">
        <v>1565</v>
      </c>
      <c r="H746" s="295" t="s">
        <v>1565</v>
      </c>
      <c r="I746" s="297">
        <v>42174</v>
      </c>
      <c r="J746" s="297">
        <v>42158</v>
      </c>
      <c r="K746" s="297">
        <v>42888</v>
      </c>
      <c r="L746" s="297">
        <v>42174</v>
      </c>
      <c r="M746" s="298" t="s">
        <v>2804</v>
      </c>
      <c r="N746" s="296" t="str">
        <f>"Guinee,Kindia,Dubreka,Khorira"</f>
        <v>Guinee,Kindia,Dubreka,Khorira</v>
      </c>
    </row>
    <row r="747" spans="2:14" x14ac:dyDescent="0.15">
      <c r="B747" s="295" t="str">
        <f>"20957"</f>
        <v>20957</v>
      </c>
      <c r="C747" s="295" t="str">
        <f>""</f>
        <v/>
      </c>
      <c r="D747" s="296" t="s">
        <v>1802</v>
      </c>
      <c r="E747" s="295" t="s">
        <v>78</v>
      </c>
      <c r="F747" s="295" t="s">
        <v>1769</v>
      </c>
      <c r="G747" s="295" t="s">
        <v>1565</v>
      </c>
      <c r="H747" s="295" t="s">
        <v>1565</v>
      </c>
      <c r="I747" s="297">
        <v>42348</v>
      </c>
      <c r="J747" s="297">
        <v>42102</v>
      </c>
      <c r="K747" s="297">
        <v>42832</v>
      </c>
      <c r="L747" s="297">
        <v>42031</v>
      </c>
      <c r="M747" s="298" t="s">
        <v>2805</v>
      </c>
      <c r="N747" s="296" t="str">
        <f>"Guinee,Kankan,Kouroussa,Sanguiana"</f>
        <v>Guinee,Kankan,Kouroussa,Sanguiana</v>
      </c>
    </row>
    <row r="748" spans="2:14" ht="18.75" x14ac:dyDescent="0.15">
      <c r="B748" s="295" t="str">
        <f>"20959"</f>
        <v>20959</v>
      </c>
      <c r="C748" s="295" t="str">
        <f>""</f>
        <v/>
      </c>
      <c r="D748" s="296" t="s">
        <v>2806</v>
      </c>
      <c r="E748" s="295" t="s">
        <v>78</v>
      </c>
      <c r="F748" s="295" t="s">
        <v>1814</v>
      </c>
      <c r="G748" s="295" t="s">
        <v>1565</v>
      </c>
      <c r="H748" s="295" t="s">
        <v>1565</v>
      </c>
      <c r="I748" s="297">
        <v>42382</v>
      </c>
      <c r="J748" s="297">
        <v>42384</v>
      </c>
      <c r="K748" s="297">
        <v>43114</v>
      </c>
      <c r="L748" s="297">
        <v>42382</v>
      </c>
      <c r="M748" s="298" t="s">
        <v>2807</v>
      </c>
      <c r="N748" s="296" t="str">
        <f>"Guinee,Kindia,Kindia,Kindia-centre, Molota"</f>
        <v>Guinee,Kindia,Kindia,Kindia-centre, Molota</v>
      </c>
    </row>
    <row r="749" spans="2:14" x14ac:dyDescent="0.15">
      <c r="B749" s="295" t="str">
        <f>"21074"</f>
        <v>21074</v>
      </c>
      <c r="C749" s="295" t="str">
        <f>""</f>
        <v/>
      </c>
      <c r="D749" s="296" t="s">
        <v>2132</v>
      </c>
      <c r="E749" s="295" t="s">
        <v>78</v>
      </c>
      <c r="F749" s="295" t="s">
        <v>1769</v>
      </c>
      <c r="G749" s="295" t="s">
        <v>1565</v>
      </c>
      <c r="H749" s="295" t="s">
        <v>1565</v>
      </c>
      <c r="I749" s="297">
        <v>42033</v>
      </c>
      <c r="J749" s="297">
        <v>42080</v>
      </c>
      <c r="K749" s="297">
        <v>44561</v>
      </c>
      <c r="L749" s="297">
        <v>42033</v>
      </c>
      <c r="M749" s="298" t="s">
        <v>2808</v>
      </c>
      <c r="N749" s="296" t="str">
        <f>"Guinee,Kindia,Dubreka,Dubréka, Khorira"</f>
        <v>Guinee,Kindia,Dubreka,Dubréka, Khorira</v>
      </c>
    </row>
    <row r="750" spans="2:14" ht="27" x14ac:dyDescent="0.15">
      <c r="B750" s="295" t="str">
        <f>"21075"</f>
        <v>21075</v>
      </c>
      <c r="C750" s="295" t="str">
        <f>""</f>
        <v/>
      </c>
      <c r="D750" s="296" t="s">
        <v>2809</v>
      </c>
      <c r="E750" s="295" t="s">
        <v>78</v>
      </c>
      <c r="F750" s="295" t="s">
        <v>1769</v>
      </c>
      <c r="G750" s="295" t="s">
        <v>1565</v>
      </c>
      <c r="H750" s="295" t="s">
        <v>1565</v>
      </c>
      <c r="I750" s="297">
        <v>42115</v>
      </c>
      <c r="J750" s="297">
        <v>42126</v>
      </c>
      <c r="K750" s="297">
        <v>44778</v>
      </c>
      <c r="L750" s="297">
        <v>42115</v>
      </c>
      <c r="M750" s="298" t="s">
        <v>2810</v>
      </c>
      <c r="N750" s="296" t="str">
        <f>"Guinee,Kindia,Dubreka,Dubréka"</f>
        <v>Guinee,Kindia,Dubreka,Dubréka</v>
      </c>
    </row>
    <row r="751" spans="2:14" x14ac:dyDescent="0.15">
      <c r="B751" s="295" t="str">
        <f>"21076"</f>
        <v>21076</v>
      </c>
      <c r="C751" s="295" t="str">
        <f>""</f>
        <v/>
      </c>
      <c r="D751" s="296" t="s">
        <v>2811</v>
      </c>
      <c r="E751" s="295" t="s">
        <v>78</v>
      </c>
      <c r="F751" s="295" t="s">
        <v>1769</v>
      </c>
      <c r="G751" s="295" t="s">
        <v>1565</v>
      </c>
      <c r="H751" s="295" t="s">
        <v>1565</v>
      </c>
      <c r="I751" s="297">
        <v>42158</v>
      </c>
      <c r="J751" s="297">
        <v>42236</v>
      </c>
      <c r="K751" s="297">
        <v>42966</v>
      </c>
      <c r="L751" s="297">
        <v>42158</v>
      </c>
      <c r="M751" s="298" t="s">
        <v>2812</v>
      </c>
      <c r="N751" s="296" t="str">
        <f>"Guinee,Kindia,Dubreka,Khorira"</f>
        <v>Guinee,Kindia,Dubreka,Khorira</v>
      </c>
    </row>
    <row r="752" spans="2:14" ht="27" x14ac:dyDescent="0.15">
      <c r="B752" s="295" t="str">
        <f>"21077"</f>
        <v>21077</v>
      </c>
      <c r="C752" s="295" t="str">
        <f>""</f>
        <v/>
      </c>
      <c r="D752" s="296" t="s">
        <v>2813</v>
      </c>
      <c r="E752" s="295" t="s">
        <v>78</v>
      </c>
      <c r="F752" s="295" t="s">
        <v>1781</v>
      </c>
      <c r="G752" s="295" t="s">
        <v>1565</v>
      </c>
      <c r="H752" s="295" t="s">
        <v>1678</v>
      </c>
      <c r="I752" s="297">
        <v>42069</v>
      </c>
      <c r="J752" s="297">
        <v>42115</v>
      </c>
      <c r="K752" s="297">
        <v>43681</v>
      </c>
      <c r="L752" s="297">
        <v>42069</v>
      </c>
      <c r="M752" s="298" t="s">
        <v>2814</v>
      </c>
      <c r="N752" s="296" t="str">
        <f>"Guinee,Boke,Boke,Boké-centre"</f>
        <v>Guinee,Boke,Boke,Boké-centre</v>
      </c>
    </row>
    <row r="753" spans="2:14" ht="27" x14ac:dyDescent="0.15">
      <c r="B753" s="295" t="str">
        <f>"21080"</f>
        <v>21080</v>
      </c>
      <c r="C753" s="295" t="str">
        <f>""</f>
        <v/>
      </c>
      <c r="D753" s="296" t="s">
        <v>118</v>
      </c>
      <c r="E753" s="295" t="s">
        <v>78</v>
      </c>
      <c r="F753" s="295" t="s">
        <v>1769</v>
      </c>
      <c r="G753" s="295" t="s">
        <v>1565</v>
      </c>
      <c r="H753" s="295" t="s">
        <v>1678</v>
      </c>
      <c r="I753" s="297">
        <v>42104</v>
      </c>
      <c r="J753" s="297">
        <v>42110</v>
      </c>
      <c r="K753" s="297">
        <v>44778</v>
      </c>
      <c r="L753" s="297">
        <v>42104</v>
      </c>
      <c r="M753" s="298" t="s">
        <v>2815</v>
      </c>
      <c r="N753" s="296" t="str">
        <f>"Guinee,Kindia,Dubreka,Dubréka, Khorira"</f>
        <v>Guinee,Kindia,Dubreka,Dubréka, Khorira</v>
      </c>
    </row>
    <row r="754" spans="2:14" x14ac:dyDescent="0.15">
      <c r="B754" s="295" t="str">
        <f>"21084"</f>
        <v>21084</v>
      </c>
      <c r="C754" s="295" t="str">
        <f>""</f>
        <v/>
      </c>
      <c r="D754" s="296" t="s">
        <v>2816</v>
      </c>
      <c r="E754" s="295" t="s">
        <v>78</v>
      </c>
      <c r="F754" s="295" t="s">
        <v>1781</v>
      </c>
      <c r="G754" s="295" t="s">
        <v>1565</v>
      </c>
      <c r="H754" s="295" t="s">
        <v>1565</v>
      </c>
      <c r="I754" s="297">
        <v>42323</v>
      </c>
      <c r="J754" s="297">
        <v>42353</v>
      </c>
      <c r="K754" s="297">
        <v>43945</v>
      </c>
      <c r="L754" s="297">
        <v>42323</v>
      </c>
      <c r="M754" s="298" t="s">
        <v>2817</v>
      </c>
      <c r="N754" s="296" t="str">
        <f>"Guinee,Kindia,Dubreka,Khorira"</f>
        <v>Guinee,Kindia,Dubreka,Khorira</v>
      </c>
    </row>
    <row r="755" spans="2:14" ht="27" x14ac:dyDescent="0.15">
      <c r="B755" s="295" t="str">
        <f>"21089"</f>
        <v>21089</v>
      </c>
      <c r="C755" s="295" t="str">
        <f>""</f>
        <v/>
      </c>
      <c r="D755" s="296" t="s">
        <v>101</v>
      </c>
      <c r="E755" s="295" t="s">
        <v>78</v>
      </c>
      <c r="F755" s="295" t="s">
        <v>1769</v>
      </c>
      <c r="G755" s="295" t="s">
        <v>1565</v>
      </c>
      <c r="H755" s="295" t="s">
        <v>1678</v>
      </c>
      <c r="I755" s="297">
        <v>31706</v>
      </c>
      <c r="J755" s="297">
        <v>31843</v>
      </c>
      <c r="K755" s="297">
        <v>44416</v>
      </c>
      <c r="L755" s="297">
        <v>31706</v>
      </c>
      <c r="M755" s="298" t="s">
        <v>2818</v>
      </c>
      <c r="N755" s="296" t="str">
        <f>"Guinee,Kindia,Coyah,Manéah"</f>
        <v>Guinee,Kindia,Coyah,Manéah</v>
      </c>
    </row>
    <row r="756" spans="2:14" x14ac:dyDescent="0.15">
      <c r="B756" s="295" t="str">
        <f>"21092"</f>
        <v>21092</v>
      </c>
      <c r="C756" s="295" t="str">
        <f>""</f>
        <v/>
      </c>
      <c r="D756" s="296" t="s">
        <v>2156</v>
      </c>
      <c r="E756" s="295" t="s">
        <v>78</v>
      </c>
      <c r="F756" s="295" t="s">
        <v>1769</v>
      </c>
      <c r="G756" s="295" t="s">
        <v>1565</v>
      </c>
      <c r="H756" s="295" t="s">
        <v>1565</v>
      </c>
      <c r="I756" s="297">
        <v>41590</v>
      </c>
      <c r="J756" s="297">
        <v>41590</v>
      </c>
      <c r="K756" s="297">
        <v>45163</v>
      </c>
      <c r="L756" s="297">
        <v>41590</v>
      </c>
      <c r="M756" s="298" t="s">
        <v>2819</v>
      </c>
      <c r="N756" s="296" t="str">
        <f>"Guinee,Kindia,Coyah,Kouria"</f>
        <v>Guinee,Kindia,Coyah,Kouria</v>
      </c>
    </row>
    <row r="757" spans="2:14" ht="27" x14ac:dyDescent="0.15">
      <c r="B757" s="295" t="str">
        <f>"21093"</f>
        <v>21093</v>
      </c>
      <c r="C757" s="295" t="str">
        <f>""</f>
        <v/>
      </c>
      <c r="D757" s="296" t="s">
        <v>2816</v>
      </c>
      <c r="E757" s="295" t="s">
        <v>78</v>
      </c>
      <c r="F757" s="295" t="s">
        <v>1769</v>
      </c>
      <c r="G757" s="295" t="s">
        <v>1565</v>
      </c>
      <c r="H757" s="295" t="s">
        <v>1678</v>
      </c>
      <c r="I757" s="297">
        <v>42069</v>
      </c>
      <c r="J757" s="297">
        <v>42080</v>
      </c>
      <c r="K757" s="297">
        <v>42810</v>
      </c>
      <c r="L757" s="297">
        <v>42069</v>
      </c>
      <c r="M757" s="298" t="s">
        <v>2820</v>
      </c>
      <c r="N757" s="296" t="str">
        <f>"Guinee,Kindia,Dubreka,Khorira"</f>
        <v>Guinee,Kindia,Dubreka,Khorira</v>
      </c>
    </row>
    <row r="758" spans="2:14" ht="18.75" x14ac:dyDescent="0.15">
      <c r="B758" s="295" t="str">
        <f>"21102"</f>
        <v>21102</v>
      </c>
      <c r="C758" s="295" t="str">
        <f>""</f>
        <v/>
      </c>
      <c r="D758" s="296" t="s">
        <v>2806</v>
      </c>
      <c r="E758" s="295" t="s">
        <v>1754</v>
      </c>
      <c r="F758" s="295" t="s">
        <v>2821</v>
      </c>
      <c r="G758" s="295" t="s">
        <v>1565</v>
      </c>
      <c r="H758" s="295" t="s">
        <v>1565</v>
      </c>
      <c r="I758" s="297">
        <v>42514</v>
      </c>
      <c r="J758" s="297">
        <v>42551</v>
      </c>
      <c r="K758" s="297">
        <v>42733</v>
      </c>
      <c r="L758" s="297">
        <v>42514</v>
      </c>
      <c r="M758" s="298" t="s">
        <v>2822</v>
      </c>
      <c r="N758" s="296" t="str">
        <f>"Guinee,Kindia,Kindia,Kolenté, Madina-Oula, Souguéta"</f>
        <v>Guinee,Kindia,Kindia,Kolenté, Madina-Oula, Souguéta</v>
      </c>
    </row>
    <row r="759" spans="2:14" ht="18.75" x14ac:dyDescent="0.15">
      <c r="B759" s="295" t="str">
        <f>"21109"</f>
        <v>21109</v>
      </c>
      <c r="C759" s="295" t="str">
        <f>""</f>
        <v/>
      </c>
      <c r="D759" s="296" t="s">
        <v>2823</v>
      </c>
      <c r="E759" s="295" t="s">
        <v>85</v>
      </c>
      <c r="F759" s="295" t="s">
        <v>644</v>
      </c>
      <c r="G759" s="295" t="s">
        <v>1565</v>
      </c>
      <c r="H759" s="295" t="s">
        <v>1565</v>
      </c>
      <c r="I759" s="297"/>
      <c r="J759" s="297">
        <v>42482</v>
      </c>
      <c r="K759" s="297">
        <v>42664</v>
      </c>
      <c r="L759" s="297">
        <v>42482</v>
      </c>
      <c r="M759" s="298" t="s">
        <v>2824</v>
      </c>
      <c r="N759" s="296" t="str">
        <f>"Guinee,Kankan,Kankan,Moribayah"</f>
        <v>Guinee,Kankan,Kankan,Moribayah</v>
      </c>
    </row>
    <row r="760" spans="2:14" ht="18.75" x14ac:dyDescent="0.15">
      <c r="B760" s="295" t="str">
        <f>"21119"</f>
        <v>21119</v>
      </c>
      <c r="C760" s="295" t="str">
        <f>""</f>
        <v/>
      </c>
      <c r="D760" s="296" t="s">
        <v>2823</v>
      </c>
      <c r="E760" s="295" t="s">
        <v>85</v>
      </c>
      <c r="F760" s="295" t="s">
        <v>644</v>
      </c>
      <c r="G760" s="295" t="s">
        <v>1565</v>
      </c>
      <c r="H760" s="295" t="s">
        <v>1565</v>
      </c>
      <c r="I760" s="297"/>
      <c r="J760" s="297">
        <v>42482</v>
      </c>
      <c r="K760" s="297">
        <v>42482</v>
      </c>
      <c r="L760" s="297">
        <v>42482</v>
      </c>
      <c r="M760" s="298" t="s">
        <v>2825</v>
      </c>
      <c r="N760" s="296" t="str">
        <f>"Guinee,Kankan,Kankan,Missamana; Mandiana,Kantoumanina"</f>
        <v>Guinee,Kankan,Kankan,Missamana; Mandiana,Kantoumanina</v>
      </c>
    </row>
    <row r="761" spans="2:14" x14ac:dyDescent="0.15">
      <c r="B761" s="295" t="str">
        <f>"21148"</f>
        <v>21148</v>
      </c>
      <c r="C761" s="295" t="str">
        <f>""</f>
        <v/>
      </c>
      <c r="D761" s="296" t="s">
        <v>2826</v>
      </c>
      <c r="E761" s="295" t="s">
        <v>78</v>
      </c>
      <c r="F761" s="295" t="s">
        <v>1769</v>
      </c>
      <c r="G761" s="295" t="s">
        <v>1565</v>
      </c>
      <c r="H761" s="295" t="s">
        <v>1565</v>
      </c>
      <c r="I761" s="297">
        <v>42241</v>
      </c>
      <c r="J761" s="297">
        <v>42355</v>
      </c>
      <c r="K761" s="297">
        <v>45163</v>
      </c>
      <c r="L761" s="297">
        <v>42241</v>
      </c>
      <c r="M761" s="298" t="s">
        <v>2827</v>
      </c>
      <c r="N761" s="296" t="str">
        <f>"Guinee,Kindia,Dubreka,Khorira"</f>
        <v>Guinee,Kindia,Dubreka,Khorira</v>
      </c>
    </row>
    <row r="762" spans="2:14" ht="27" x14ac:dyDescent="0.15">
      <c r="B762" s="295" t="str">
        <f>"21149"</f>
        <v>21149</v>
      </c>
      <c r="C762" s="295" t="str">
        <f>""</f>
        <v/>
      </c>
      <c r="D762" s="296" t="s">
        <v>143</v>
      </c>
      <c r="E762" s="295" t="s">
        <v>1754</v>
      </c>
      <c r="F762" s="295" t="s">
        <v>1769</v>
      </c>
      <c r="G762" s="295" t="s">
        <v>1565</v>
      </c>
      <c r="H762" s="295" t="s">
        <v>1678</v>
      </c>
      <c r="I762" s="297">
        <v>42500</v>
      </c>
      <c r="J762" s="297">
        <v>42503</v>
      </c>
      <c r="K762" s="297">
        <v>42716</v>
      </c>
      <c r="L762" s="297">
        <v>42500</v>
      </c>
      <c r="M762" s="298" t="s">
        <v>2585</v>
      </c>
      <c r="N762" s="296" t="str">
        <f>"Guinee,Boke,Boke,Boké-centre"</f>
        <v>Guinee,Boke,Boke,Boké-centre</v>
      </c>
    </row>
    <row r="763" spans="2:14" ht="27" x14ac:dyDescent="0.15">
      <c r="B763" s="295" t="str">
        <f>"21157"</f>
        <v>21157</v>
      </c>
      <c r="C763" s="295" t="str">
        <f>""</f>
        <v/>
      </c>
      <c r="D763" s="296" t="s">
        <v>2828</v>
      </c>
      <c r="E763" s="295" t="s">
        <v>78</v>
      </c>
      <c r="F763" s="295" t="s">
        <v>1781</v>
      </c>
      <c r="G763" s="295" t="s">
        <v>1565</v>
      </c>
      <c r="H763" s="295" t="s">
        <v>1678</v>
      </c>
      <c r="I763" s="297">
        <v>42323</v>
      </c>
      <c r="J763" s="297">
        <v>42353</v>
      </c>
      <c r="K763" s="297">
        <v>43083</v>
      </c>
      <c r="L763" s="297">
        <v>42323</v>
      </c>
      <c r="M763" s="298" t="s">
        <v>2829</v>
      </c>
      <c r="N763" s="296" t="str">
        <f>"Guinee,Kindia,Coyah,Kouria"</f>
        <v>Guinee,Kindia,Coyah,Kouria</v>
      </c>
    </row>
    <row r="764" spans="2:14" x14ac:dyDescent="0.15">
      <c r="B764" s="295" t="str">
        <f>"21176"</f>
        <v>21176</v>
      </c>
      <c r="C764" s="295" t="str">
        <f>""</f>
        <v/>
      </c>
      <c r="D764" s="296" t="s">
        <v>2830</v>
      </c>
      <c r="E764" s="295" t="s">
        <v>78</v>
      </c>
      <c r="F764" s="295" t="s">
        <v>1769</v>
      </c>
      <c r="G764" s="295" t="s">
        <v>1565</v>
      </c>
      <c r="H764" s="295" t="s">
        <v>1565</v>
      </c>
      <c r="I764" s="297">
        <v>42430</v>
      </c>
      <c r="J764" s="297">
        <v>42493</v>
      </c>
      <c r="K764" s="297">
        <v>43222</v>
      </c>
      <c r="L764" s="297">
        <v>42430</v>
      </c>
      <c r="M764" s="298" t="s">
        <v>2831</v>
      </c>
      <c r="N764" s="296" t="str">
        <f>"Guinee,Mamou,Mamou,Bouliwel"</f>
        <v>Guinee,Mamou,Mamou,Bouliwel</v>
      </c>
    </row>
    <row r="765" spans="2:14" x14ac:dyDescent="0.15">
      <c r="B765" s="295" t="str">
        <f>"21180"</f>
        <v>21180</v>
      </c>
      <c r="C765" s="295" t="str">
        <f>""</f>
        <v/>
      </c>
      <c r="D765" s="296" t="s">
        <v>2832</v>
      </c>
      <c r="E765" s="295" t="s">
        <v>78</v>
      </c>
      <c r="F765" s="295" t="s">
        <v>1769</v>
      </c>
      <c r="G765" s="295" t="s">
        <v>1565</v>
      </c>
      <c r="H765" s="295" t="s">
        <v>1565</v>
      </c>
      <c r="I765" s="297">
        <v>42367</v>
      </c>
      <c r="J765" s="297">
        <v>42367</v>
      </c>
      <c r="K765" s="297">
        <v>43097</v>
      </c>
      <c r="L765" s="297">
        <v>42367</v>
      </c>
      <c r="M765" s="298" t="s">
        <v>2833</v>
      </c>
      <c r="N765" s="296" t="str">
        <f>"Guinee,Kindia,Dubreka,Khorira"</f>
        <v>Guinee,Kindia,Dubreka,Khorira</v>
      </c>
    </row>
    <row r="766" spans="2:14" x14ac:dyDescent="0.15">
      <c r="B766" s="295" t="str">
        <f>"22094"</f>
        <v>22094</v>
      </c>
      <c r="C766" s="295" t="str">
        <f>""</f>
        <v/>
      </c>
      <c r="D766" s="296"/>
      <c r="E766" s="295" t="s">
        <v>2792</v>
      </c>
      <c r="F766" s="295" t="s">
        <v>644</v>
      </c>
      <c r="G766" s="295" t="s">
        <v>1565</v>
      </c>
      <c r="H766" s="295" t="s">
        <v>1565</v>
      </c>
      <c r="I766" s="297"/>
      <c r="J766" s="297">
        <v>42793</v>
      </c>
      <c r="K766" s="297">
        <v>44618</v>
      </c>
      <c r="L766" s="297"/>
      <c r="M766" s="298" t="s">
        <v>2834</v>
      </c>
      <c r="N766" s="296" t="str">
        <f>"Guinee,Faranah,Dinguiraye,Diatiféré"</f>
        <v>Guinee,Faranah,Dinguiraye,Diatiféré</v>
      </c>
    </row>
    <row r="767" spans="2:14" x14ac:dyDescent="0.15">
      <c r="B767" s="295" t="str">
        <f>"22095"</f>
        <v>22095</v>
      </c>
      <c r="C767" s="295" t="str">
        <f>""</f>
        <v/>
      </c>
      <c r="D767" s="296"/>
      <c r="E767" s="295" t="s">
        <v>2792</v>
      </c>
      <c r="F767" s="295" t="s">
        <v>644</v>
      </c>
      <c r="G767" s="295" t="s">
        <v>1565</v>
      </c>
      <c r="H767" s="295" t="s">
        <v>1565</v>
      </c>
      <c r="I767" s="297">
        <v>42828.555486111109</v>
      </c>
      <c r="J767" s="297">
        <v>42793</v>
      </c>
      <c r="K767" s="297">
        <v>44618</v>
      </c>
      <c r="L767" s="297"/>
      <c r="M767" s="298" t="s">
        <v>2835</v>
      </c>
      <c r="N767" s="296" t="str">
        <f>"Guinee,Faranah,Dinguiraye,Dinguiraye-cent"</f>
        <v>Guinee,Faranah,Dinguiraye,Dinguiraye-cent</v>
      </c>
    </row>
    <row r="768" spans="2:14" ht="18.75" x14ac:dyDescent="0.15">
      <c r="B768" s="295" t="str">
        <f>"22099"</f>
        <v>22099</v>
      </c>
      <c r="C768" s="295" t="str">
        <f>""</f>
        <v/>
      </c>
      <c r="D768" s="296"/>
      <c r="E768" s="295" t="s">
        <v>2792</v>
      </c>
      <c r="F768" s="295" t="s">
        <v>644</v>
      </c>
      <c r="G768" s="295" t="s">
        <v>1565</v>
      </c>
      <c r="H768" s="295" t="s">
        <v>1565</v>
      </c>
      <c r="I768" s="297"/>
      <c r="J768" s="297">
        <v>42837</v>
      </c>
      <c r="K768" s="297">
        <v>44662</v>
      </c>
      <c r="L768" s="297"/>
      <c r="M768" s="298" t="s">
        <v>2836</v>
      </c>
      <c r="N768" s="296" t="str">
        <f>"Guinee,Kankan,Kankan,Missamana"</f>
        <v>Guinee,Kankan,Kankan,Missamana</v>
      </c>
    </row>
    <row r="769" spans="2:14" ht="18.75" x14ac:dyDescent="0.15">
      <c r="B769" s="295" t="str">
        <f>"22100"</f>
        <v>22100</v>
      </c>
      <c r="C769" s="295" t="str">
        <f>""</f>
        <v/>
      </c>
      <c r="D769" s="296"/>
      <c r="E769" s="295" t="s">
        <v>2792</v>
      </c>
      <c r="F769" s="295" t="s">
        <v>644</v>
      </c>
      <c r="G769" s="295" t="s">
        <v>1565</v>
      </c>
      <c r="H769" s="295" t="s">
        <v>1565</v>
      </c>
      <c r="I769" s="297"/>
      <c r="J769" s="297">
        <v>42837</v>
      </c>
      <c r="K769" s="297">
        <v>44662</v>
      </c>
      <c r="L769" s="297"/>
      <c r="M769" s="298" t="s">
        <v>2837</v>
      </c>
      <c r="N769" s="296" t="str">
        <f>"Guinee,Kankan,Kankan,Missamana"</f>
        <v>Guinee,Kankan,Kankan,Missamana</v>
      </c>
    </row>
    <row r="770" spans="2:14" x14ac:dyDescent="0.15">
      <c r="B770" s="295" t="str">
        <f>"22124"</f>
        <v>22124</v>
      </c>
      <c r="C770" s="295" t="str">
        <f>""</f>
        <v/>
      </c>
      <c r="D770" s="296"/>
      <c r="E770" s="295" t="s">
        <v>2792</v>
      </c>
      <c r="F770" s="295" t="s">
        <v>644</v>
      </c>
      <c r="G770" s="295" t="s">
        <v>1565</v>
      </c>
      <c r="H770" s="295" t="s">
        <v>1565</v>
      </c>
      <c r="I770" s="297"/>
      <c r="J770" s="297">
        <v>42837</v>
      </c>
      <c r="K770" s="297">
        <v>44662</v>
      </c>
      <c r="L770" s="297"/>
      <c r="M770" s="298" t="s">
        <v>2838</v>
      </c>
      <c r="N770" s="296" t="str">
        <f>"Guinee,Kankan,Kankan,Balandougou"</f>
        <v>Guinee,Kankan,Kankan,Balandougou</v>
      </c>
    </row>
    <row r="771" spans="2:14" ht="18.75" x14ac:dyDescent="0.15">
      <c r="B771" s="295" t="str">
        <f>"22125"</f>
        <v>22125</v>
      </c>
      <c r="C771" s="295" t="str">
        <f>""</f>
        <v/>
      </c>
      <c r="D771" s="296"/>
      <c r="E771" s="295" t="s">
        <v>2792</v>
      </c>
      <c r="F771" s="295" t="s">
        <v>644</v>
      </c>
      <c r="G771" s="295" t="s">
        <v>1565</v>
      </c>
      <c r="H771" s="295" t="s">
        <v>1565</v>
      </c>
      <c r="I771" s="297"/>
      <c r="J771" s="297">
        <v>42837</v>
      </c>
      <c r="K771" s="297">
        <v>44662</v>
      </c>
      <c r="L771" s="297"/>
      <c r="M771" s="298" t="s">
        <v>2839</v>
      </c>
      <c r="N771" s="296" t="str">
        <f>"Guinee,Kankan,Kankan,Missamana"</f>
        <v>Guinee,Kankan,Kankan,Missamana</v>
      </c>
    </row>
    <row r="772" spans="2:14" ht="18.75" x14ac:dyDescent="0.15">
      <c r="B772" s="295" t="str">
        <f>"22134"</f>
        <v>22134</v>
      </c>
      <c r="C772" s="295" t="str">
        <f>""</f>
        <v/>
      </c>
      <c r="D772" s="296"/>
      <c r="E772" s="295" t="s">
        <v>2792</v>
      </c>
      <c r="F772" s="295" t="s">
        <v>644</v>
      </c>
      <c r="G772" s="295" t="s">
        <v>1565</v>
      </c>
      <c r="H772" s="295" t="s">
        <v>1565</v>
      </c>
      <c r="I772" s="297"/>
      <c r="J772" s="297">
        <v>42886</v>
      </c>
      <c r="K772" s="297">
        <v>44711</v>
      </c>
      <c r="L772" s="297"/>
      <c r="M772" s="298" t="s">
        <v>2840</v>
      </c>
      <c r="N772" s="296" t="str">
        <f>"Guinee,Kankan,Siguiri,Bankon, Doko"</f>
        <v>Guinee,Kankan,Siguiri,Bankon, Doko</v>
      </c>
    </row>
    <row r="773" spans="2:14" x14ac:dyDescent="0.15">
      <c r="B773" s="295" t="str">
        <f>"22143"</f>
        <v>22143</v>
      </c>
      <c r="C773" s="295" t="str">
        <f>""</f>
        <v/>
      </c>
      <c r="D773" s="296"/>
      <c r="E773" s="295" t="s">
        <v>2792</v>
      </c>
      <c r="F773" s="295" t="s">
        <v>644</v>
      </c>
      <c r="G773" s="295" t="s">
        <v>1565</v>
      </c>
      <c r="H773" s="295" t="s">
        <v>1565</v>
      </c>
      <c r="I773" s="297"/>
      <c r="J773" s="297">
        <v>43312</v>
      </c>
      <c r="K773" s="297">
        <v>45137</v>
      </c>
      <c r="L773" s="297"/>
      <c r="M773" s="298" t="s">
        <v>2841</v>
      </c>
      <c r="N773" s="296" t="str">
        <f>"Guinee,Kankan,Siguiri,Maléa"</f>
        <v>Guinee,Kankan,Siguiri,Maléa</v>
      </c>
    </row>
    <row r="774" spans="2:14" ht="18.75" x14ac:dyDescent="0.15">
      <c r="B774" s="295" t="str">
        <f>"22149"</f>
        <v>22149</v>
      </c>
      <c r="C774" s="295" t="str">
        <f>""</f>
        <v/>
      </c>
      <c r="D774" s="296"/>
      <c r="E774" s="295" t="s">
        <v>2792</v>
      </c>
      <c r="F774" s="295" t="s">
        <v>644</v>
      </c>
      <c r="G774" s="295" t="s">
        <v>1565</v>
      </c>
      <c r="H774" s="295" t="s">
        <v>1565</v>
      </c>
      <c r="I774" s="297"/>
      <c r="J774" s="297">
        <v>42886</v>
      </c>
      <c r="K774" s="297">
        <v>44711</v>
      </c>
      <c r="L774" s="297"/>
      <c r="M774" s="298" t="s">
        <v>2842</v>
      </c>
      <c r="N774" s="296" t="str">
        <f>"Guinee,Kankan,Kouroussa,Kouroussa-centre"</f>
        <v>Guinee,Kankan,Kouroussa,Kouroussa-centre</v>
      </c>
    </row>
    <row r="775" spans="2:14" ht="18.75" x14ac:dyDescent="0.15">
      <c r="B775" s="295" t="str">
        <f>"22150"</f>
        <v>22150</v>
      </c>
      <c r="C775" s="295" t="str">
        <f>""</f>
        <v/>
      </c>
      <c r="D775" s="296"/>
      <c r="E775" s="295" t="s">
        <v>2792</v>
      </c>
      <c r="F775" s="295" t="s">
        <v>644</v>
      </c>
      <c r="G775" s="295" t="s">
        <v>1565</v>
      </c>
      <c r="H775" s="295" t="s">
        <v>1565</v>
      </c>
      <c r="I775" s="297"/>
      <c r="J775" s="297">
        <v>42886</v>
      </c>
      <c r="K775" s="297">
        <v>44711</v>
      </c>
      <c r="L775" s="297"/>
      <c r="M775" s="298" t="s">
        <v>2843</v>
      </c>
      <c r="N775" s="296" t="str">
        <f>"Guinee,Kankan,Kouroussa,Kouroussa-centre"</f>
        <v>Guinee,Kankan,Kouroussa,Kouroussa-centre</v>
      </c>
    </row>
    <row r="776" spans="2:14" ht="27" x14ac:dyDescent="0.15">
      <c r="B776" s="295" t="str">
        <f>"22231"</f>
        <v>22231</v>
      </c>
      <c r="C776" s="295" t="str">
        <f>""</f>
        <v/>
      </c>
      <c r="D776" s="296"/>
      <c r="E776" s="295" t="s">
        <v>2735</v>
      </c>
      <c r="F776" s="295" t="s">
        <v>2844</v>
      </c>
      <c r="G776" s="295" t="s">
        <v>1565</v>
      </c>
      <c r="H776" s="295" t="s">
        <v>1565</v>
      </c>
      <c r="I776" s="297">
        <v>42762.646284722221</v>
      </c>
      <c r="J776" s="297">
        <v>43544</v>
      </c>
      <c r="K776" s="297">
        <v>45370</v>
      </c>
      <c r="L776" s="297">
        <v>42430</v>
      </c>
      <c r="M776" s="298" t="s">
        <v>2845</v>
      </c>
      <c r="N776" s="296" t="str">
        <f>"Guinee,Kindia,Forecariah,Allassoyah, Farmoriah, Kaback, Kaliah, Maférinya"</f>
        <v>Guinee,Kindia,Forecariah,Allassoyah, Farmoriah, Kaback, Kaliah, Maférinya</v>
      </c>
    </row>
    <row r="777" spans="2:14" x14ac:dyDescent="0.15">
      <c r="B777" s="295" t="str">
        <f>"22247"</f>
        <v>22247</v>
      </c>
      <c r="C777" s="295" t="str">
        <f>""</f>
        <v/>
      </c>
      <c r="D777" s="296"/>
      <c r="E777" s="295" t="s">
        <v>2792</v>
      </c>
      <c r="F777" s="295" t="s">
        <v>644</v>
      </c>
      <c r="G777" s="295" t="s">
        <v>1565</v>
      </c>
      <c r="H777" s="295" t="s">
        <v>1565</v>
      </c>
      <c r="I777" s="297">
        <v>43038.483310185184</v>
      </c>
      <c r="J777" s="297">
        <v>43042</v>
      </c>
      <c r="K777" s="297">
        <v>44867</v>
      </c>
      <c r="L777" s="297">
        <v>43003</v>
      </c>
      <c r="M777" s="298" t="s">
        <v>2846</v>
      </c>
      <c r="N777" s="296" t="str">
        <f>"Guinee,Kankan,Siguiri,Niagassola"</f>
        <v>Guinee,Kankan,Siguiri,Niagassola</v>
      </c>
    </row>
    <row r="778" spans="2:14" x14ac:dyDescent="0.15">
      <c r="B778" s="295" t="str">
        <f>"22248"</f>
        <v>22248</v>
      </c>
      <c r="C778" s="295" t="str">
        <f>""</f>
        <v/>
      </c>
      <c r="D778" s="296"/>
      <c r="E778" s="295" t="s">
        <v>2792</v>
      </c>
      <c r="F778" s="295" t="s">
        <v>644</v>
      </c>
      <c r="G778" s="295" t="s">
        <v>1565</v>
      </c>
      <c r="H778" s="295" t="s">
        <v>1565</v>
      </c>
      <c r="I778" s="297">
        <v>43038.50880787037</v>
      </c>
      <c r="J778" s="297">
        <v>43042</v>
      </c>
      <c r="K778" s="297">
        <v>44867</v>
      </c>
      <c r="L778" s="297">
        <v>43003</v>
      </c>
      <c r="M778" s="298" t="s">
        <v>2847</v>
      </c>
      <c r="N778" s="296" t="str">
        <f>"Guinee,Kankan,Siguiri,Niagassola"</f>
        <v>Guinee,Kankan,Siguiri,Niagassola</v>
      </c>
    </row>
    <row r="779" spans="2:14" x14ac:dyDescent="0.15">
      <c r="B779" s="295" t="str">
        <f>"22300"</f>
        <v>22300</v>
      </c>
      <c r="C779" s="295" t="str">
        <f>""</f>
        <v/>
      </c>
      <c r="D779" s="296"/>
      <c r="E779" s="295" t="s">
        <v>2792</v>
      </c>
      <c r="F779" s="295" t="s">
        <v>644</v>
      </c>
      <c r="G779" s="295" t="s">
        <v>1565</v>
      </c>
      <c r="H779" s="295" t="s">
        <v>1565</v>
      </c>
      <c r="I779" s="297">
        <v>43123.539421296293</v>
      </c>
      <c r="J779" s="297">
        <v>43088</v>
      </c>
      <c r="K779" s="297">
        <v>44913</v>
      </c>
      <c r="L779" s="297">
        <v>43088</v>
      </c>
      <c r="M779" s="298" t="s">
        <v>2848</v>
      </c>
      <c r="N779" s="296" t="str">
        <f>"Guinee,Kankan,Siguiri,Doko"</f>
        <v>Guinee,Kankan,Siguiri,Doko</v>
      </c>
    </row>
    <row r="780" spans="2:14" x14ac:dyDescent="0.15">
      <c r="B780" s="295" t="str">
        <f>"22321"</f>
        <v>22321</v>
      </c>
      <c r="C780" s="295" t="str">
        <f>""</f>
        <v/>
      </c>
      <c r="D780" s="296"/>
      <c r="E780" s="295" t="s">
        <v>2792</v>
      </c>
      <c r="F780" s="295" t="s">
        <v>644</v>
      </c>
      <c r="G780" s="295" t="s">
        <v>1565</v>
      </c>
      <c r="H780" s="295" t="s">
        <v>1565</v>
      </c>
      <c r="I780" s="297">
        <v>43164.472453703704</v>
      </c>
      <c r="J780" s="297">
        <v>43179</v>
      </c>
      <c r="K780" s="297">
        <v>45004</v>
      </c>
      <c r="L780" s="297">
        <v>43161</v>
      </c>
      <c r="M780" s="298" t="s">
        <v>2849</v>
      </c>
      <c r="N780" s="296" t="str">
        <f>"Guinee,Kankan,Siguiri,Doko"</f>
        <v>Guinee,Kankan,Siguiri,Doko</v>
      </c>
    </row>
    <row r="781" spans="2:14" x14ac:dyDescent="0.15">
      <c r="B781" s="295" t="str">
        <f>"22333"</f>
        <v>22333</v>
      </c>
      <c r="C781" s="295" t="str">
        <f>""</f>
        <v/>
      </c>
      <c r="D781" s="296"/>
      <c r="E781" s="295" t="s">
        <v>2792</v>
      </c>
      <c r="F781" s="295" t="s">
        <v>644</v>
      </c>
      <c r="G781" s="295" t="s">
        <v>1565</v>
      </c>
      <c r="H781" s="295" t="s">
        <v>1565</v>
      </c>
      <c r="I781" s="297">
        <v>43187.519004629627</v>
      </c>
      <c r="J781" s="297">
        <v>43201</v>
      </c>
      <c r="K781" s="297">
        <v>45026</v>
      </c>
      <c r="L781" s="297">
        <v>43185</v>
      </c>
      <c r="M781" s="298" t="s">
        <v>2850</v>
      </c>
      <c r="N781" s="296" t="str">
        <f>"Guinee,Kankan,Siguiri,Bankon"</f>
        <v>Guinee,Kankan,Siguiri,Bankon</v>
      </c>
    </row>
    <row r="782" spans="2:14" x14ac:dyDescent="0.15">
      <c r="B782" s="295" t="str">
        <f>"22351"</f>
        <v>22351</v>
      </c>
      <c r="C782" s="295" t="str">
        <f>""</f>
        <v/>
      </c>
      <c r="D782" s="296"/>
      <c r="E782" s="295" t="s">
        <v>2792</v>
      </c>
      <c r="F782" s="295" t="s">
        <v>644</v>
      </c>
      <c r="G782" s="295" t="s">
        <v>1565</v>
      </c>
      <c r="H782" s="295" t="s">
        <v>1565</v>
      </c>
      <c r="I782" s="297">
        <v>43223.496458333335</v>
      </c>
      <c r="J782" s="297">
        <v>43256</v>
      </c>
      <c r="K782" s="297">
        <v>45081</v>
      </c>
      <c r="L782" s="297">
        <v>43201</v>
      </c>
      <c r="M782" s="298" t="s">
        <v>2851</v>
      </c>
      <c r="N782" s="296" t="str">
        <f>"Guinee,Kankan,Kouroussa,Doura"</f>
        <v>Guinee,Kankan,Kouroussa,Doura</v>
      </c>
    </row>
    <row r="783" spans="2:14" ht="18.75" x14ac:dyDescent="0.15">
      <c r="B783" s="295" t="str">
        <f>"22384"</f>
        <v>22384</v>
      </c>
      <c r="C783" s="295" t="str">
        <f>""</f>
        <v/>
      </c>
      <c r="D783" s="296"/>
      <c r="E783" s="295" t="s">
        <v>2735</v>
      </c>
      <c r="F783" s="295"/>
      <c r="G783" s="295" t="s">
        <v>1565</v>
      </c>
      <c r="H783" s="295" t="s">
        <v>1565</v>
      </c>
      <c r="I783" s="297">
        <v>43262.509722222225</v>
      </c>
      <c r="J783" s="297">
        <v>43544</v>
      </c>
      <c r="K783" s="297">
        <v>45370</v>
      </c>
      <c r="L783" s="297">
        <v>43262</v>
      </c>
      <c r="M783" s="298" t="s">
        <v>2852</v>
      </c>
      <c r="N783" s="296" t="str">
        <f>"Guinee,Kindia,Forecariah,Benty, Farmoriah, Kaliah"</f>
        <v>Guinee,Kindia,Forecariah,Benty, Farmoriah, Kaliah</v>
      </c>
    </row>
    <row r="784" spans="2:14" ht="27" x14ac:dyDescent="0.15">
      <c r="B784" s="295" t="str">
        <f>"22385"</f>
        <v>22385</v>
      </c>
      <c r="C784" s="295" t="str">
        <f>""</f>
        <v/>
      </c>
      <c r="D784" s="296"/>
      <c r="E784" s="295" t="s">
        <v>2735</v>
      </c>
      <c r="F784" s="295"/>
      <c r="G784" s="295" t="s">
        <v>1565</v>
      </c>
      <c r="H784" s="295" t="s">
        <v>1565</v>
      </c>
      <c r="I784" s="297">
        <v>43262.522615740738</v>
      </c>
      <c r="J784" s="297">
        <v>43544</v>
      </c>
      <c r="K784" s="297">
        <v>45370</v>
      </c>
      <c r="L784" s="297">
        <v>43262</v>
      </c>
      <c r="M784" s="298" t="s">
        <v>2853</v>
      </c>
      <c r="N784" s="296" t="str">
        <f>"Guinee,Kindia,Forecariah,Allassoyah, Kaback, Kakossa, Kaliah, Maférinya"</f>
        <v>Guinee,Kindia,Forecariah,Allassoyah, Kaback, Kakossa, Kaliah, Maférinya</v>
      </c>
    </row>
    <row r="785" spans="2:14" ht="18.75" x14ac:dyDescent="0.15">
      <c r="B785" s="295" t="str">
        <f>"22386"</f>
        <v>22386</v>
      </c>
      <c r="C785" s="295" t="str">
        <f>""</f>
        <v/>
      </c>
      <c r="D785" s="296"/>
      <c r="E785" s="295" t="s">
        <v>2735</v>
      </c>
      <c r="F785" s="295" t="s">
        <v>1758</v>
      </c>
      <c r="G785" s="295" t="s">
        <v>1565</v>
      </c>
      <c r="H785" s="295" t="s">
        <v>1565</v>
      </c>
      <c r="I785" s="297">
        <v>43262.535717592589</v>
      </c>
      <c r="J785" s="297">
        <v>43544</v>
      </c>
      <c r="K785" s="297">
        <v>45370</v>
      </c>
      <c r="L785" s="297">
        <v>43262</v>
      </c>
      <c r="M785" s="298" t="s">
        <v>2854</v>
      </c>
      <c r="N785" s="296" t="str">
        <f>"Guinee,Boke,Boffa,Boffa, Douprou, Koba_Tatéma, Lisso, Tamita"</f>
        <v>Guinee,Boke,Boffa,Boffa, Douprou, Koba_Tatéma, Lisso, Tamita</v>
      </c>
    </row>
    <row r="786" spans="2:14" ht="18.75" x14ac:dyDescent="0.15">
      <c r="B786" s="295" t="str">
        <f>"22422"</f>
        <v>22422</v>
      </c>
      <c r="C786" s="295" t="str">
        <f>""</f>
        <v/>
      </c>
      <c r="D786" s="296"/>
      <c r="E786" s="295" t="s">
        <v>2792</v>
      </c>
      <c r="F786" s="295" t="s">
        <v>644</v>
      </c>
      <c r="G786" s="295" t="s">
        <v>1565</v>
      </c>
      <c r="H786" s="295" t="s">
        <v>1565</v>
      </c>
      <c r="I786" s="297"/>
      <c r="J786" s="297">
        <v>42837</v>
      </c>
      <c r="K786" s="297">
        <v>44662</v>
      </c>
      <c r="L786" s="297"/>
      <c r="M786" s="298" t="s">
        <v>2855</v>
      </c>
      <c r="N786" s="296" t="str">
        <f>"Guinee,Kankan,Kankan,Balandougou, Baté-Nafadji"</f>
        <v>Guinee,Kankan,Kankan,Balandougou, Baté-Nafadji</v>
      </c>
    </row>
    <row r="787" spans="2:14" ht="18.75" x14ac:dyDescent="0.15">
      <c r="B787" s="295" t="str">
        <f>"22423"</f>
        <v>22423</v>
      </c>
      <c r="C787" s="295" t="str">
        <f>""</f>
        <v/>
      </c>
      <c r="D787" s="296"/>
      <c r="E787" s="295" t="s">
        <v>2792</v>
      </c>
      <c r="F787" s="295" t="s">
        <v>644</v>
      </c>
      <c r="G787" s="295" t="s">
        <v>1565</v>
      </c>
      <c r="H787" s="295" t="s">
        <v>1565</v>
      </c>
      <c r="I787" s="297"/>
      <c r="J787" s="297">
        <v>42793</v>
      </c>
      <c r="K787" s="297">
        <v>44618</v>
      </c>
      <c r="L787" s="297"/>
      <c r="M787" s="298" t="s">
        <v>2856</v>
      </c>
      <c r="N787" s="296" t="str">
        <f>"Guinee,Kankan,Kouroussa,Babila, Kiniéro"</f>
        <v>Guinee,Kankan,Kouroussa,Babila, Kiniéro</v>
      </c>
    </row>
    <row r="788" spans="2:14" ht="18.75" x14ac:dyDescent="0.15">
      <c r="B788" s="295" t="str">
        <f>"22424"</f>
        <v>22424</v>
      </c>
      <c r="C788" s="295" t="str">
        <f>""</f>
        <v/>
      </c>
      <c r="D788" s="296"/>
      <c r="E788" s="295" t="s">
        <v>2792</v>
      </c>
      <c r="F788" s="295" t="s">
        <v>644</v>
      </c>
      <c r="G788" s="295" t="s">
        <v>1565</v>
      </c>
      <c r="H788" s="295" t="s">
        <v>1565</v>
      </c>
      <c r="I788" s="297"/>
      <c r="J788" s="297">
        <v>42837</v>
      </c>
      <c r="K788" s="297">
        <v>44662</v>
      </c>
      <c r="L788" s="297"/>
      <c r="M788" s="298" t="s">
        <v>2857</v>
      </c>
      <c r="N788" s="296" t="str">
        <f>"Guinee,Kankan,Siguiri,Niandankoro"</f>
        <v>Guinee,Kankan,Siguiri,Niandankoro</v>
      </c>
    </row>
    <row r="789" spans="2:14" x14ac:dyDescent="0.15">
      <c r="B789" s="295" t="str">
        <f>"22427"</f>
        <v>22427</v>
      </c>
      <c r="C789" s="295" t="str">
        <f>""</f>
        <v/>
      </c>
      <c r="D789" s="296"/>
      <c r="E789" s="295" t="s">
        <v>2792</v>
      </c>
      <c r="F789" s="295" t="s">
        <v>644</v>
      </c>
      <c r="G789" s="295" t="s">
        <v>1565</v>
      </c>
      <c r="H789" s="295" t="s">
        <v>1565</v>
      </c>
      <c r="I789" s="297"/>
      <c r="J789" s="297">
        <v>42793</v>
      </c>
      <c r="K789" s="297">
        <v>44618</v>
      </c>
      <c r="L789" s="297"/>
      <c r="M789" s="298" t="s">
        <v>2858</v>
      </c>
      <c r="N789" s="296" t="str">
        <f>"Guinee,Kankan,Siguiri,Siguirini"</f>
        <v>Guinee,Kankan,Siguiri,Siguirini</v>
      </c>
    </row>
    <row r="790" spans="2:14" x14ac:dyDescent="0.15">
      <c r="B790" s="295" t="str">
        <f>"22428"</f>
        <v>22428</v>
      </c>
      <c r="C790" s="295" t="str">
        <f>""</f>
        <v/>
      </c>
      <c r="D790" s="296"/>
      <c r="E790" s="295" t="s">
        <v>2792</v>
      </c>
      <c r="F790" s="295" t="s">
        <v>644</v>
      </c>
      <c r="G790" s="295" t="s">
        <v>1565</v>
      </c>
      <c r="H790" s="295" t="s">
        <v>1565</v>
      </c>
      <c r="I790" s="297"/>
      <c r="J790" s="297">
        <v>42793</v>
      </c>
      <c r="K790" s="297">
        <v>44618</v>
      </c>
      <c r="L790" s="297"/>
      <c r="M790" s="298" t="s">
        <v>2859</v>
      </c>
      <c r="N790" s="296" t="str">
        <f>"Guinee,Faranah,Dinguiraye,Dinguiraye-cent"</f>
        <v>Guinee,Faranah,Dinguiraye,Dinguiraye-cent</v>
      </c>
    </row>
    <row r="791" spans="2:14" ht="18.75" x14ac:dyDescent="0.15">
      <c r="B791" s="295" t="str">
        <f>"22429"</f>
        <v>22429</v>
      </c>
      <c r="C791" s="295" t="str">
        <f>""</f>
        <v/>
      </c>
      <c r="D791" s="296"/>
      <c r="E791" s="295" t="s">
        <v>2792</v>
      </c>
      <c r="F791" s="295" t="s">
        <v>644</v>
      </c>
      <c r="G791" s="295" t="s">
        <v>1565</v>
      </c>
      <c r="H791" s="295" t="s">
        <v>1565</v>
      </c>
      <c r="I791" s="297"/>
      <c r="J791" s="297">
        <v>42793</v>
      </c>
      <c r="K791" s="297">
        <v>44618</v>
      </c>
      <c r="L791" s="297"/>
      <c r="M791" s="298" t="s">
        <v>2860</v>
      </c>
      <c r="N791" s="296" t="str">
        <f>"Guinee,Faranah,Dinguiraye,Banora, Diatiféré"</f>
        <v>Guinee,Faranah,Dinguiraye,Banora, Diatiféré</v>
      </c>
    </row>
    <row r="792" spans="2:14" ht="18.75" x14ac:dyDescent="0.15">
      <c r="B792" s="295" t="str">
        <f>"22430"</f>
        <v>22430</v>
      </c>
      <c r="C792" s="295" t="str">
        <f>""</f>
        <v/>
      </c>
      <c r="D792" s="296"/>
      <c r="E792" s="295" t="s">
        <v>2792</v>
      </c>
      <c r="F792" s="295" t="s">
        <v>644</v>
      </c>
      <c r="G792" s="295" t="s">
        <v>1565</v>
      </c>
      <c r="H792" s="295" t="s">
        <v>1565</v>
      </c>
      <c r="I792" s="297"/>
      <c r="J792" s="297">
        <v>42793</v>
      </c>
      <c r="K792" s="297">
        <v>44618</v>
      </c>
      <c r="L792" s="297"/>
      <c r="M792" s="298" t="s">
        <v>2861</v>
      </c>
      <c r="N792" s="296" t="str">
        <f>"Guinee,Faranah,Dinguiraye,Dinguiraye-cent"</f>
        <v>Guinee,Faranah,Dinguiraye,Dinguiraye-cent</v>
      </c>
    </row>
    <row r="793" spans="2:14" ht="18.75" x14ac:dyDescent="0.15">
      <c r="B793" s="295" t="str">
        <f>"22431"</f>
        <v>22431</v>
      </c>
      <c r="C793" s="295" t="str">
        <f>""</f>
        <v/>
      </c>
      <c r="D793" s="296"/>
      <c r="E793" s="295" t="s">
        <v>2792</v>
      </c>
      <c r="F793" s="295" t="s">
        <v>644</v>
      </c>
      <c r="G793" s="295" t="s">
        <v>1565</v>
      </c>
      <c r="H793" s="295" t="s">
        <v>1565</v>
      </c>
      <c r="I793" s="297"/>
      <c r="J793" s="297">
        <v>42837</v>
      </c>
      <c r="K793" s="297">
        <v>44662</v>
      </c>
      <c r="L793" s="297"/>
      <c r="M793" s="298" t="s">
        <v>2862</v>
      </c>
      <c r="N793" s="296" t="str">
        <f>"Guinee,Kankan,Mandiana,Dialokoro"</f>
        <v>Guinee,Kankan,Mandiana,Dialokoro</v>
      </c>
    </row>
    <row r="794" spans="2:14" ht="18.75" x14ac:dyDescent="0.15">
      <c r="B794" s="295" t="str">
        <f>"22432"</f>
        <v>22432</v>
      </c>
      <c r="C794" s="295" t="str">
        <f>""</f>
        <v/>
      </c>
      <c r="D794" s="296"/>
      <c r="E794" s="295" t="s">
        <v>2792</v>
      </c>
      <c r="F794" s="295" t="s">
        <v>644</v>
      </c>
      <c r="G794" s="295" t="s">
        <v>1565</v>
      </c>
      <c r="H794" s="295" t="s">
        <v>1565</v>
      </c>
      <c r="I794" s="297"/>
      <c r="J794" s="297">
        <v>42837</v>
      </c>
      <c r="K794" s="297">
        <v>44662</v>
      </c>
      <c r="L794" s="297"/>
      <c r="M794" s="298" t="s">
        <v>2863</v>
      </c>
      <c r="N794" s="296" t="str">
        <f>"Guinee,Kankan,Kouroussa,Kiniéro, Kouroussa-centre"</f>
        <v>Guinee,Kankan,Kouroussa,Kiniéro, Kouroussa-centre</v>
      </c>
    </row>
    <row r="795" spans="2:14" x14ac:dyDescent="0.15">
      <c r="B795" s="295" t="str">
        <f>"22433"</f>
        <v>22433</v>
      </c>
      <c r="C795" s="295" t="str">
        <f>""</f>
        <v/>
      </c>
      <c r="D795" s="296"/>
      <c r="E795" s="295" t="s">
        <v>2792</v>
      </c>
      <c r="F795" s="295" t="s">
        <v>644</v>
      </c>
      <c r="G795" s="295" t="s">
        <v>1565</v>
      </c>
      <c r="H795" s="295" t="s">
        <v>1565</v>
      </c>
      <c r="I795" s="297"/>
      <c r="J795" s="297">
        <v>43202</v>
      </c>
      <c r="K795" s="297">
        <v>45027</v>
      </c>
      <c r="L795" s="297"/>
      <c r="M795" s="298" t="s">
        <v>2864</v>
      </c>
      <c r="N795" s="296" t="str">
        <f>"Guinee,Kankan,Mandiana,Morodou"</f>
        <v>Guinee,Kankan,Mandiana,Morodou</v>
      </c>
    </row>
    <row r="796" spans="2:14" ht="18.75" x14ac:dyDescent="0.15">
      <c r="B796" s="295" t="str">
        <f>"22434"</f>
        <v>22434</v>
      </c>
      <c r="C796" s="295" t="str">
        <f>""</f>
        <v/>
      </c>
      <c r="D796" s="296"/>
      <c r="E796" s="295" t="s">
        <v>2792</v>
      </c>
      <c r="F796" s="295" t="s">
        <v>644</v>
      </c>
      <c r="G796" s="295" t="s">
        <v>1565</v>
      </c>
      <c r="H796" s="295" t="s">
        <v>1565</v>
      </c>
      <c r="I796" s="297"/>
      <c r="J796" s="297">
        <v>43202</v>
      </c>
      <c r="K796" s="297">
        <v>45027</v>
      </c>
      <c r="L796" s="297"/>
      <c r="M796" s="298" t="s">
        <v>2865</v>
      </c>
      <c r="N796" s="296" t="str">
        <f>"Guinee,Kankan,Mandiana,Balandougouba"</f>
        <v>Guinee,Kankan,Mandiana,Balandougouba</v>
      </c>
    </row>
    <row r="797" spans="2:14" ht="18.75" x14ac:dyDescent="0.15">
      <c r="B797" s="295" t="str">
        <f>"22435"</f>
        <v>22435</v>
      </c>
      <c r="C797" s="295" t="str">
        <f>""</f>
        <v/>
      </c>
      <c r="D797" s="296"/>
      <c r="E797" s="295" t="s">
        <v>2792</v>
      </c>
      <c r="F797" s="295" t="s">
        <v>644</v>
      </c>
      <c r="G797" s="295" t="s">
        <v>1565</v>
      </c>
      <c r="H797" s="295" t="s">
        <v>1565</v>
      </c>
      <c r="I797" s="297"/>
      <c r="J797" s="297">
        <v>42837</v>
      </c>
      <c r="K797" s="297">
        <v>44662</v>
      </c>
      <c r="L797" s="297"/>
      <c r="M797" s="298" t="s">
        <v>2866</v>
      </c>
      <c r="N797" s="296" t="str">
        <f>"Guinee,Kankan,Kankan,Balandougou"</f>
        <v>Guinee,Kankan,Kankan,Balandougou</v>
      </c>
    </row>
    <row r="798" spans="2:14" x14ac:dyDescent="0.15">
      <c r="B798" s="295" t="str">
        <f>"22436"</f>
        <v>22436</v>
      </c>
      <c r="C798" s="295" t="str">
        <f>""</f>
        <v/>
      </c>
      <c r="D798" s="296"/>
      <c r="E798" s="295" t="s">
        <v>2792</v>
      </c>
      <c r="F798" s="295" t="s">
        <v>644</v>
      </c>
      <c r="G798" s="295" t="s">
        <v>1565</v>
      </c>
      <c r="H798" s="295" t="s">
        <v>1565</v>
      </c>
      <c r="I798" s="297"/>
      <c r="J798" s="297">
        <v>43202</v>
      </c>
      <c r="K798" s="297">
        <v>45027</v>
      </c>
      <c r="L798" s="297"/>
      <c r="M798" s="298" t="s">
        <v>2867</v>
      </c>
      <c r="N798" s="296" t="str">
        <f>"Guinee,Kankan,Siguiri,Doko, Niagassola"</f>
        <v>Guinee,Kankan,Siguiri,Doko, Niagassola</v>
      </c>
    </row>
    <row r="799" spans="2:14" ht="18.75" x14ac:dyDescent="0.15">
      <c r="B799" s="295" t="str">
        <f>"22437"</f>
        <v>22437</v>
      </c>
      <c r="C799" s="295" t="str">
        <f>""</f>
        <v/>
      </c>
      <c r="D799" s="296"/>
      <c r="E799" s="295" t="s">
        <v>2792</v>
      </c>
      <c r="F799" s="295" t="s">
        <v>644</v>
      </c>
      <c r="G799" s="295" t="s">
        <v>1565</v>
      </c>
      <c r="H799" s="295" t="s">
        <v>1565</v>
      </c>
      <c r="I799" s="297"/>
      <c r="J799" s="297">
        <v>42837</v>
      </c>
      <c r="K799" s="297">
        <v>44662</v>
      </c>
      <c r="L799" s="297"/>
      <c r="M799" s="298" t="s">
        <v>2868</v>
      </c>
      <c r="N799" s="296" t="str">
        <f>"Guinee,Kankan,Mandiana,Balandougouba"</f>
        <v>Guinee,Kankan,Mandiana,Balandougouba</v>
      </c>
    </row>
    <row r="800" spans="2:14" ht="18.75" x14ac:dyDescent="0.15">
      <c r="B800" s="295" t="str">
        <f>"22438"</f>
        <v>22438</v>
      </c>
      <c r="C800" s="295" t="str">
        <f>""</f>
        <v/>
      </c>
      <c r="D800" s="296"/>
      <c r="E800" s="295" t="s">
        <v>2792</v>
      </c>
      <c r="F800" s="295" t="s">
        <v>644</v>
      </c>
      <c r="G800" s="295" t="s">
        <v>1565</v>
      </c>
      <c r="H800" s="295" t="s">
        <v>1565</v>
      </c>
      <c r="I800" s="297"/>
      <c r="J800" s="297">
        <v>42793</v>
      </c>
      <c r="K800" s="297">
        <v>44618</v>
      </c>
      <c r="L800" s="297"/>
      <c r="M800" s="298" t="s">
        <v>2869</v>
      </c>
      <c r="N800" s="296" t="str">
        <f>"Guinee,Kankan,Siguiri,Bankon"</f>
        <v>Guinee,Kankan,Siguiri,Bankon</v>
      </c>
    </row>
    <row r="801" spans="2:14" x14ac:dyDescent="0.15">
      <c r="B801" s="295" t="str">
        <f>"22600"</f>
        <v>22600</v>
      </c>
      <c r="C801" s="295" t="str">
        <f>""</f>
        <v/>
      </c>
      <c r="D801" s="296"/>
      <c r="E801" s="295" t="s">
        <v>2792</v>
      </c>
      <c r="F801" s="295" t="s">
        <v>644</v>
      </c>
      <c r="G801" s="295" t="s">
        <v>1565</v>
      </c>
      <c r="H801" s="295" t="s">
        <v>1565</v>
      </c>
      <c r="I801" s="297">
        <v>43560.517997685187</v>
      </c>
      <c r="J801" s="297">
        <v>43594</v>
      </c>
      <c r="K801" s="297">
        <v>45420</v>
      </c>
      <c r="L801" s="297">
        <v>43559</v>
      </c>
      <c r="M801" s="298" t="s">
        <v>2870</v>
      </c>
      <c r="N801" s="296" t="str">
        <f>"Guinee,Kankan,Kankan,Gbérédou-Barana, Koumban"</f>
        <v>Guinee,Kankan,Kankan,Gbérédou-Barana, Koumban</v>
      </c>
    </row>
    <row r="802" spans="2:14" x14ac:dyDescent="0.15">
      <c r="B802" s="295" t="str">
        <f>"22690"</f>
        <v>22690</v>
      </c>
      <c r="C802" s="295" t="str">
        <f>""</f>
        <v/>
      </c>
      <c r="D802" s="296"/>
      <c r="E802" s="295" t="s">
        <v>2792</v>
      </c>
      <c r="F802" s="295" t="s">
        <v>644</v>
      </c>
      <c r="G802" s="295" t="s">
        <v>1565</v>
      </c>
      <c r="H802" s="295" t="s">
        <v>1565</v>
      </c>
      <c r="I802" s="297">
        <v>43671.518263888887</v>
      </c>
      <c r="J802" s="297">
        <v>43685</v>
      </c>
      <c r="K802" s="297">
        <v>45511</v>
      </c>
      <c r="L802" s="297">
        <v>43659</v>
      </c>
      <c r="M802" s="298" t="s">
        <v>2871</v>
      </c>
      <c r="N802" s="296" t="str">
        <f>"Guinee,Kankan,Siguiri,Kintinian, Norassoba"</f>
        <v>Guinee,Kankan,Siguiri,Kintinian, Norassoba</v>
      </c>
    </row>
    <row r="803" spans="2:14" ht="18.75" x14ac:dyDescent="0.15">
      <c r="B803" s="295" t="str">
        <f>"22706"</f>
        <v>22706</v>
      </c>
      <c r="C803" s="295" t="str">
        <f>""</f>
        <v/>
      </c>
      <c r="D803" s="296"/>
      <c r="E803" s="295" t="s">
        <v>2735</v>
      </c>
      <c r="F803" s="295" t="s">
        <v>1568</v>
      </c>
      <c r="G803" s="295" t="s">
        <v>1565</v>
      </c>
      <c r="H803" s="295" t="s">
        <v>1565</v>
      </c>
      <c r="I803" s="297">
        <v>43714.720451388886</v>
      </c>
      <c r="J803" s="297">
        <v>43741</v>
      </c>
      <c r="K803" s="297">
        <v>45567</v>
      </c>
      <c r="L803" s="297">
        <v>43714</v>
      </c>
      <c r="M803" s="298" t="s">
        <v>2872</v>
      </c>
      <c r="N803" s="296" t="str">
        <f>"Guinee,Labe,Tougue,Kollet, Konah, Tangali, Tougué-centre"</f>
        <v>Guinee,Labe,Tougue,Kollet, Konah, Tangali, Tougué-centre</v>
      </c>
    </row>
    <row r="804" spans="2:14" x14ac:dyDescent="0.15">
      <c r="B804" s="295" t="str">
        <f>"22748"</f>
        <v>22748</v>
      </c>
      <c r="C804" s="295" t="str">
        <f>""</f>
        <v/>
      </c>
      <c r="D804" s="296"/>
      <c r="E804" s="295" t="s">
        <v>2792</v>
      </c>
      <c r="F804" s="295" t="s">
        <v>644</v>
      </c>
      <c r="G804" s="295" t="s">
        <v>1565</v>
      </c>
      <c r="H804" s="295" t="s">
        <v>1565</v>
      </c>
      <c r="I804" s="297">
        <v>43774.444340277776</v>
      </c>
      <c r="J804" s="297">
        <v>43791</v>
      </c>
      <c r="K804" s="297">
        <v>45617</v>
      </c>
      <c r="L804" s="297">
        <v>43755</v>
      </c>
      <c r="M804" s="298" t="s">
        <v>2873</v>
      </c>
      <c r="N804" s="296" t="str">
        <f>"Guinee,Faranah,Dinguiraye,Banora"</f>
        <v>Guinee,Faranah,Dinguiraye,Banora</v>
      </c>
    </row>
    <row r="805" spans="2:14" x14ac:dyDescent="0.15">
      <c r="B805" s="295" t="str">
        <f>"22749"</f>
        <v>22749</v>
      </c>
      <c r="C805" s="295" t="str">
        <f>""</f>
        <v/>
      </c>
      <c r="D805" s="296"/>
      <c r="E805" s="295" t="s">
        <v>2792</v>
      </c>
      <c r="F805" s="295" t="s">
        <v>644</v>
      </c>
      <c r="G805" s="295" t="s">
        <v>1565</v>
      </c>
      <c r="H805" s="295" t="s">
        <v>1565</v>
      </c>
      <c r="I805" s="297">
        <v>43777.417754629627</v>
      </c>
      <c r="J805" s="297">
        <v>43802</v>
      </c>
      <c r="K805" s="297">
        <v>45628</v>
      </c>
      <c r="L805" s="297">
        <v>43744</v>
      </c>
      <c r="M805" s="298" t="s">
        <v>2874</v>
      </c>
      <c r="N805" s="296" t="str">
        <f>"Guinee,Mamou,Mamou,Kégnéko"</f>
        <v>Guinee,Mamou,Mamou,Kégnéko</v>
      </c>
    </row>
    <row r="806" spans="2:14" ht="40.5" x14ac:dyDescent="0.15">
      <c r="B806" s="295" t="str">
        <f>"22804"</f>
        <v>22804</v>
      </c>
      <c r="C806" s="295" t="str">
        <f>""</f>
        <v/>
      </c>
      <c r="D806" s="296" t="s">
        <v>2875</v>
      </c>
      <c r="E806" s="295" t="s">
        <v>2735</v>
      </c>
      <c r="F806" s="295"/>
      <c r="G806" s="295" t="s">
        <v>1565</v>
      </c>
      <c r="H806" s="295" t="s">
        <v>1565</v>
      </c>
      <c r="I806" s="297">
        <v>43825.561840277776</v>
      </c>
      <c r="J806" s="297">
        <v>43830</v>
      </c>
      <c r="K806" s="297">
        <v>45656</v>
      </c>
      <c r="L806" s="297">
        <v>43825</v>
      </c>
      <c r="M806" s="298" t="s">
        <v>2876</v>
      </c>
      <c r="N806" s="296" t="str">
        <f>"Guinee,Faranah,Dinguiraye,Banora, Dinguiraye-cent; Kankan,Kouroussa,Komola-khoura; Siguiri,Kintinian, Maléa, Norassoba, Siguirini"</f>
        <v>Guinee,Faranah,Dinguiraye,Banora, Dinguiraye-cent; Kankan,Kouroussa,Komola-khoura; Siguiri,Kintinian, Maléa, Norassoba, Siguirini</v>
      </c>
    </row>
    <row r="807" spans="2:14" x14ac:dyDescent="0.15">
      <c r="B807" s="295" t="str">
        <f>"22837"</f>
        <v>22837</v>
      </c>
      <c r="C807" s="295" t="str">
        <f>""</f>
        <v/>
      </c>
      <c r="D807" s="296"/>
      <c r="E807" s="295" t="s">
        <v>2792</v>
      </c>
      <c r="F807" s="295" t="s">
        <v>644</v>
      </c>
      <c r="G807" s="295" t="s">
        <v>1565</v>
      </c>
      <c r="H807" s="295" t="s">
        <v>1565</v>
      </c>
      <c r="I807" s="297">
        <v>43886.390405092592</v>
      </c>
      <c r="J807" s="297">
        <v>43984</v>
      </c>
      <c r="K807" s="297">
        <v>45809</v>
      </c>
      <c r="L807" s="297">
        <v>43880</v>
      </c>
      <c r="M807" s="298" t="s">
        <v>2877</v>
      </c>
      <c r="N807" s="296" t="str">
        <f>"Guinee,Kankan,Kouroussa,Sanguiana"</f>
        <v>Guinee,Kankan,Kouroussa,Sanguiana</v>
      </c>
    </row>
    <row r="808" spans="2:14" x14ac:dyDescent="0.15">
      <c r="B808" s="295" t="str">
        <f>"22880"</f>
        <v>22880</v>
      </c>
      <c r="C808" s="295" t="str">
        <f>""</f>
        <v/>
      </c>
      <c r="D808" s="296"/>
      <c r="E808" s="295" t="s">
        <v>2792</v>
      </c>
      <c r="F808" s="295" t="s">
        <v>644</v>
      </c>
      <c r="G808" s="295" t="s">
        <v>1565</v>
      </c>
      <c r="H808" s="295" t="s">
        <v>1565</v>
      </c>
      <c r="I808" s="297">
        <v>43958.376307870371</v>
      </c>
      <c r="J808" s="297">
        <v>43966</v>
      </c>
      <c r="K808" s="297">
        <v>45791</v>
      </c>
      <c r="L808" s="297">
        <v>43928</v>
      </c>
      <c r="M808" s="298" t="s">
        <v>2878</v>
      </c>
      <c r="N808" s="296" t="str">
        <f>"Guinee,Kankan,Siguiri,Maléa"</f>
        <v>Guinee,Kankan,Siguiri,Maléa</v>
      </c>
    </row>
    <row r="809" spans="2:14" ht="27" x14ac:dyDescent="0.15">
      <c r="B809" s="295" t="str">
        <f>"23195"</f>
        <v>23195</v>
      </c>
      <c r="C809" s="295" t="str">
        <f>""</f>
        <v/>
      </c>
      <c r="D809" s="296"/>
      <c r="E809" s="295" t="s">
        <v>2735</v>
      </c>
      <c r="F809" s="295" t="s">
        <v>1594</v>
      </c>
      <c r="G809" s="295" t="s">
        <v>1565</v>
      </c>
      <c r="H809" s="295" t="s">
        <v>1565</v>
      </c>
      <c r="I809" s="297">
        <v>44440.500648148147</v>
      </c>
      <c r="J809" s="297">
        <v>44328</v>
      </c>
      <c r="K809" s="297">
        <v>46153</v>
      </c>
      <c r="L809" s="297">
        <v>44440</v>
      </c>
      <c r="M809" s="298" t="s">
        <v>2879</v>
      </c>
      <c r="N809" s="296" t="str">
        <f>"Guinee,Kindia,Coyah,Wonkifong; Forecariah,Allassoyah, Farmoriah, Kaliah, Moussayah; Kindia,Mambia"</f>
        <v>Guinee,Kindia,Coyah,Wonkifong; Forecariah,Allassoyah, Farmoriah, Kaliah, Moussayah; Kindia,Mambia</v>
      </c>
    </row>
  </sheetData>
  <autoFilter ref="B4:N4" xr:uid="{9624E840-3F7E-45B7-9E6E-519CB810D1E5}">
    <sortState xmlns:xlrd2="http://schemas.microsoft.com/office/spreadsheetml/2017/richdata2" ref="B5:N809">
      <sortCondition descending="1" ref="C4"/>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7028d44-c954-4a3d-84b3-16cb413669c7" xsi:nil="true"/>
    <lcf76f155ced4ddcb4097134ff3c332f xmlns="43839781-5c02-4002-9796-4dad1b529ad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B0FDC29D738714B94BA3320EE1FF1B8" ma:contentTypeVersion="9" ma:contentTypeDescription="Crée un document." ma:contentTypeScope="" ma:versionID="0cbf58cc0e647361c424a655ee400fed">
  <xsd:schema xmlns:xsd="http://www.w3.org/2001/XMLSchema" xmlns:xs="http://www.w3.org/2001/XMLSchema" xmlns:p="http://schemas.microsoft.com/office/2006/metadata/properties" xmlns:ns2="43839781-5c02-4002-9796-4dad1b529add" xmlns:ns3="a7028d44-c954-4a3d-84b3-16cb413669c7" targetNamespace="http://schemas.microsoft.com/office/2006/metadata/properties" ma:root="true" ma:fieldsID="6084c5713526e825ac6e00abafa0c3ef" ns2:_="" ns3:_="">
    <xsd:import namespace="43839781-5c02-4002-9796-4dad1b529add"/>
    <xsd:import namespace="a7028d44-c954-4a3d-84b3-16cb413669c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839781-5c02-4002-9796-4dad1b529a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2403f3db-e408-45c5-af7e-c4f0667205f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7028d44-c954-4a3d-84b3-16cb413669c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9fad39f-5c89-4288-b79a-96ab48e07811}" ma:internalName="TaxCatchAll" ma:showField="CatchAllData" ma:web="a7028d44-c954-4a3d-84b3-16cb413669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A4DC95-0C6F-4DC7-8732-DEFE5F2CA347}">
  <ds:schemaRefs>
    <ds:schemaRef ds:uri="http://schemas.microsoft.com/sharepoint/v3/contenttype/forms"/>
  </ds:schemaRefs>
</ds:datastoreItem>
</file>

<file path=customXml/itemProps2.xml><?xml version="1.0" encoding="utf-8"?>
<ds:datastoreItem xmlns:ds="http://schemas.openxmlformats.org/officeDocument/2006/customXml" ds:itemID="{51254592-C7C1-470F-840B-50CD78F0822F}">
  <ds:schemaRefs>
    <ds:schemaRef ds:uri="http://schemas.microsoft.com/office/2006/metadata/properties"/>
    <ds:schemaRef ds:uri="http://www.w3.org/2000/xmlns/"/>
    <ds:schemaRef ds:uri="a7028d44-c954-4a3d-84b3-16cb413669c7"/>
    <ds:schemaRef ds:uri="http://www.w3.org/2001/XMLSchema-instance"/>
    <ds:schemaRef ds:uri="43839781-5c02-4002-9796-4dad1b529add"/>
    <ds:schemaRef ds:uri="http://schemas.microsoft.com/office/infopath/2007/PartnerControls"/>
  </ds:schemaRefs>
</ds:datastoreItem>
</file>

<file path=customXml/itemProps3.xml><?xml version="1.0" encoding="utf-8"?>
<ds:datastoreItem xmlns:ds="http://schemas.openxmlformats.org/officeDocument/2006/customXml" ds:itemID="{25F13F64-0F96-462C-A79B-38898106968F}">
  <ds:schemaRefs>
    <ds:schemaRef ds:uri="http://schemas.microsoft.com/office/2006/metadata/contentType"/>
    <ds:schemaRef ds:uri="http://schemas.microsoft.com/office/2006/metadata/properties/metaAttributes"/>
    <ds:schemaRef ds:uri="http://www.w3.org/2000/xmlns/"/>
    <ds:schemaRef ds:uri="http://www.w3.org/2001/XMLSchema"/>
    <ds:schemaRef ds:uri="43839781-5c02-4002-9796-4dad1b529add"/>
    <ds:schemaRef ds:uri="a7028d44-c954-4a3d-84b3-16cb413669c7"/>
  </ds:schemaRefs>
</ds:datastoreItem>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Feuilles de calcul</vt:lpstr>
      </vt:variant>
      <vt:variant>
        <vt:i4>36</vt:i4>
      </vt:variant>
      <vt:variant>
        <vt:lpstr>Plages nommées</vt:lpstr>
      </vt:variant>
      <vt:variant>
        <vt:i4>37</vt:i4>
      </vt:variant>
    </vt:vector>
  </HeadingPairs>
  <TitlesOfParts>
    <vt:vector size="73" baseType="lpstr">
      <vt:lpstr>List</vt:lpstr>
      <vt:lpstr>1</vt:lpstr>
      <vt:lpstr>2</vt:lpstr>
      <vt:lpstr>3</vt:lpstr>
      <vt:lpstr>4</vt:lpstr>
      <vt:lpstr>5</vt:lpstr>
      <vt:lpstr>6</vt:lpstr>
      <vt:lpstr>7</vt:lpstr>
      <vt:lpstr>8</vt:lpstr>
      <vt:lpstr>9</vt:lpstr>
      <vt:lpstr>10</vt:lpstr>
      <vt:lpstr>10.1</vt:lpstr>
      <vt:lpstr>10.2</vt:lpstr>
      <vt:lpstr>10.3</vt:lpstr>
      <vt:lpstr>10.4</vt:lpstr>
      <vt:lpstr>10.5</vt:lpstr>
      <vt:lpstr>10.6</vt:lpstr>
      <vt:lpstr>10.7</vt:lpstr>
      <vt:lpstr>10.8</vt:lpstr>
      <vt:lpstr>10.9</vt:lpstr>
      <vt:lpstr>10.10</vt:lpstr>
      <vt:lpstr>10.11</vt:lpstr>
      <vt:lpstr>10.12</vt:lpstr>
      <vt:lpstr>11</vt:lpstr>
      <vt:lpstr>12</vt:lpstr>
      <vt:lpstr>13</vt:lpstr>
      <vt:lpstr>14</vt:lpstr>
      <vt:lpstr>15</vt:lpstr>
      <vt:lpstr>16</vt:lpstr>
      <vt:lpstr>17</vt:lpstr>
      <vt:lpstr>18</vt:lpstr>
      <vt:lpstr>19</vt:lpstr>
      <vt:lpstr>20</vt:lpstr>
      <vt:lpstr>21</vt:lpstr>
      <vt:lpstr>22</vt:lpstr>
      <vt:lpstr>23</vt:lpstr>
      <vt:lpstr>15!_Hlk46822259</vt:lpstr>
      <vt:lpstr>List!_Toc135066270</vt:lpstr>
      <vt:lpstr>List!_Toc135066271</vt:lpstr>
      <vt:lpstr>List!_Toc135066272</vt:lpstr>
      <vt:lpstr>List!_Toc135066273</vt:lpstr>
      <vt:lpstr>List!_Toc135066274</vt:lpstr>
      <vt:lpstr>List!_Toc135066275</vt:lpstr>
      <vt:lpstr>List!_Toc135066276</vt:lpstr>
      <vt:lpstr>List!_Toc135066277</vt:lpstr>
      <vt:lpstr>List!_Toc135066278</vt:lpstr>
      <vt:lpstr>List!_Toc135066279</vt:lpstr>
      <vt:lpstr>List!_Toc135066280</vt:lpstr>
      <vt:lpstr>List!_Toc135066281</vt:lpstr>
      <vt:lpstr>List!_Toc135066282</vt:lpstr>
      <vt:lpstr>List!_Toc135066283</vt:lpstr>
      <vt:lpstr>List!_Toc135066284</vt:lpstr>
      <vt:lpstr>List!_Toc135066285</vt:lpstr>
      <vt:lpstr>List!_Toc135066286</vt:lpstr>
      <vt:lpstr>List!_Toc135066287</vt:lpstr>
      <vt:lpstr>List!_Toc135066288</vt:lpstr>
      <vt:lpstr>List!_Toc135066289</vt:lpstr>
      <vt:lpstr>List!_Toc135066290</vt:lpstr>
      <vt:lpstr>10!_Toc1661862</vt:lpstr>
      <vt:lpstr>1!_Toc55559404</vt:lpstr>
      <vt:lpstr>2!_Toc55559405</vt:lpstr>
      <vt:lpstr>4!_Toc55559407</vt:lpstr>
      <vt:lpstr>5!_Toc55559408</vt:lpstr>
      <vt:lpstr>7!_Toc55559410</vt:lpstr>
      <vt:lpstr>8!_Toc55559411</vt:lpstr>
      <vt:lpstr>16!_Toc55559412</vt:lpstr>
      <vt:lpstr>11!_Toc55559414</vt:lpstr>
      <vt:lpstr>12!_Toc55559415</vt:lpstr>
      <vt:lpstr>13!_Toc55559416</vt:lpstr>
      <vt:lpstr>14!_Toc55559417</vt:lpstr>
      <vt:lpstr>9!_Toc55559422</vt:lpstr>
      <vt:lpstr>17!_Toc55559423</vt:lpstr>
      <vt:lpstr>19!_Toc55559425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Rafik Chkioua</dc:creator>
  <cp:keywords/>
  <dc:description/>
  <cp:lastModifiedBy>Fathi Mabrouk</cp:lastModifiedBy>
  <cp:revision/>
  <dcterms:created xsi:type="dcterms:W3CDTF">2023-05-07T11:40:26Z</dcterms:created>
  <dcterms:modified xsi:type="dcterms:W3CDTF">2023-12-12T14:00:07Z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0x0101004B0FDC29D738714B94BA3320EE1FF1B8</vt:lpwstr>
  </property>
  <property fmtid="{D5CDD505-2E9C-101B-9397-08002B2CF9AE}" pid="3" name="MediaServiceImageTags">
    <vt:lpwstr/>
  </property>
</Properties>
</file>